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050" windowHeight="4740"/>
  </bookViews>
  <sheets>
    <sheet name="Лист1" sheetId="1" r:id="rId1"/>
    <sheet name="Лист2" sheetId="2" r:id="rId2"/>
    <sheet name="Проект 1" sheetId="4" r:id="rId3"/>
    <sheet name="Проект 2" sheetId="6" r:id="rId4"/>
    <sheet name="Проект 3" sheetId="7" r:id="rId5"/>
  </sheets>
  <definedNames>
    <definedName name="_ftn1" localSheetId="0">Лист1!$A$16</definedName>
    <definedName name="_ftn2" localSheetId="0">Лист1!#REF!</definedName>
    <definedName name="_ftnref1" localSheetId="0">Лист1!$F$2</definedName>
    <definedName name="_ftnref2" localSheetId="0">Лист1!#REF!</definedName>
  </definedNames>
  <calcPr calcId="162913"/>
</workbook>
</file>

<file path=xl/calcChain.xml><?xml version="1.0" encoding="utf-8"?>
<calcChain xmlns="http://schemas.openxmlformats.org/spreadsheetml/2006/main">
  <c r="H9" i="7" l="1"/>
  <c r="D46" i="2"/>
  <c r="E46" i="2" s="1"/>
  <c r="F46" i="2" s="1"/>
  <c r="C46" i="2"/>
  <c r="G5" i="6"/>
  <c r="E18" i="1"/>
  <c r="D18" i="1"/>
  <c r="K40" i="1"/>
  <c r="K41" i="1" s="1"/>
  <c r="J41" i="1"/>
  <c r="F30" i="2" l="1"/>
  <c r="E30" i="2"/>
  <c r="D30" i="2"/>
  <c r="C30" i="2"/>
  <c r="C18" i="1" l="1"/>
  <c r="B18" i="1"/>
  <c r="N2" i="1"/>
  <c r="D3" i="6" l="1"/>
  <c r="E3" i="6"/>
  <c r="F3" i="6"/>
  <c r="G3" i="6"/>
  <c r="C3" i="6"/>
  <c r="C4" i="6"/>
  <c r="D3" i="4"/>
  <c r="E3" i="4"/>
  <c r="F3" i="4"/>
  <c r="G3" i="4"/>
  <c r="C3" i="4"/>
  <c r="D4" i="4" s="1"/>
  <c r="F4" i="4" l="1"/>
  <c r="E4" i="4"/>
  <c r="C4" i="4"/>
  <c r="G4" i="4"/>
  <c r="D3" i="7"/>
  <c r="E3" i="7"/>
  <c r="F3" i="7"/>
  <c r="G3" i="7"/>
  <c r="C3" i="7"/>
  <c r="C4" i="7" s="1"/>
  <c r="F4" i="7" l="1"/>
  <c r="D4" i="7"/>
  <c r="G4" i="7"/>
  <c r="E4" i="7"/>
  <c r="B6" i="6" l="1"/>
  <c r="B7" i="6" l="1"/>
  <c r="B6" i="4"/>
  <c r="B7" i="4" l="1"/>
  <c r="D4" i="6"/>
  <c r="E4" i="6"/>
  <c r="D20" i="2"/>
  <c r="D19" i="2"/>
  <c r="D7" i="2"/>
  <c r="D8" i="2"/>
  <c r="D6" i="2"/>
  <c r="E5" i="6" l="1"/>
  <c r="D5" i="6"/>
  <c r="D5" i="4" l="1"/>
  <c r="D5" i="7"/>
  <c r="E5" i="4"/>
  <c r="E5" i="7"/>
  <c r="F5" i="4"/>
  <c r="F5" i="7"/>
  <c r="G4" i="6"/>
  <c r="F4" i="6"/>
  <c r="F18" i="1"/>
  <c r="C52" i="2"/>
  <c r="C51" i="2"/>
  <c r="D39" i="2"/>
  <c r="B25" i="6" s="1"/>
  <c r="D52" i="2"/>
  <c r="D41" i="2"/>
  <c r="D40" i="2"/>
  <c r="C47" i="2"/>
  <c r="D6" i="7" s="1"/>
  <c r="D47" i="2"/>
  <c r="E47" i="2"/>
  <c r="E51" i="2" s="1"/>
  <c r="F47" i="2"/>
  <c r="B47" i="2"/>
  <c r="C31" i="2"/>
  <c r="C38" i="2" s="1"/>
  <c r="D6" i="6" s="1"/>
  <c r="D31" i="2"/>
  <c r="D38" i="2" s="1"/>
  <c r="E6" i="6" s="1"/>
  <c r="E31" i="2"/>
  <c r="E38" i="2" s="1"/>
  <c r="E41" i="2" s="1"/>
  <c r="F31" i="2"/>
  <c r="F38" i="2" s="1"/>
  <c r="B31" i="2"/>
  <c r="D22" i="2"/>
  <c r="D25" i="2" s="1"/>
  <c r="D10" i="2"/>
  <c r="D13" i="2" s="1"/>
  <c r="F20" i="2"/>
  <c r="G20" i="2" s="1"/>
  <c r="H20" i="2" s="1"/>
  <c r="E20" i="2"/>
  <c r="E19" i="2"/>
  <c r="F19" i="2" s="1"/>
  <c r="E8" i="2"/>
  <c r="F8" i="2" s="1"/>
  <c r="G8" i="2" s="1"/>
  <c r="H8" i="2" s="1"/>
  <c r="F7" i="2"/>
  <c r="G7" i="2" s="1"/>
  <c r="H7" i="2" s="1"/>
  <c r="E7" i="2"/>
  <c r="E6" i="2"/>
  <c r="F6" i="2" s="1"/>
  <c r="K42" i="1"/>
  <c r="L39" i="1"/>
  <c r="L40" i="1"/>
  <c r="L38" i="1"/>
  <c r="D48" i="2" l="1"/>
  <c r="E6" i="7"/>
  <c r="E48" i="2"/>
  <c r="F6" i="7"/>
  <c r="D50" i="2"/>
  <c r="B25" i="7" s="1"/>
  <c r="C48" i="2"/>
  <c r="C6" i="7"/>
  <c r="D51" i="2"/>
  <c r="C50" i="2"/>
  <c r="B24" i="7" s="1"/>
  <c r="E52" i="2"/>
  <c r="F48" i="2"/>
  <c r="G6" i="7"/>
  <c r="E50" i="2"/>
  <c r="B26" i="7" s="1"/>
  <c r="G18" i="1"/>
  <c r="H18" i="1"/>
  <c r="B38" i="2"/>
  <c r="C6" i="6" s="1"/>
  <c r="E39" i="2"/>
  <c r="B26" i="6" s="1"/>
  <c r="F32" i="2"/>
  <c r="E40" i="2"/>
  <c r="E32" i="2"/>
  <c r="C40" i="2"/>
  <c r="C41" i="2"/>
  <c r="D32" i="2"/>
  <c r="C39" i="2"/>
  <c r="B24" i="6" s="1"/>
  <c r="C32" i="2"/>
  <c r="B33" i="2"/>
  <c r="C6" i="4" s="1"/>
  <c r="G5" i="7"/>
  <c r="F6" i="6"/>
  <c r="F5" i="6"/>
  <c r="G6" i="6"/>
  <c r="F51" i="2"/>
  <c r="F50" i="2"/>
  <c r="B27" i="7" s="1"/>
  <c r="F52" i="2"/>
  <c r="G19" i="2"/>
  <c r="F22" i="2"/>
  <c r="E22" i="2"/>
  <c r="E23" i="2" s="1"/>
  <c r="F23" i="2"/>
  <c r="G6" i="2"/>
  <c r="F10" i="2"/>
  <c r="D33" i="2" s="1"/>
  <c r="E6" i="4" s="1"/>
  <c r="E10" i="2"/>
  <c r="C33" i="2" s="1"/>
  <c r="D6" i="4" s="1"/>
  <c r="D27" i="1"/>
  <c r="F39" i="2" l="1"/>
  <c r="B27" i="6" s="1"/>
  <c r="F40" i="2"/>
  <c r="F41" i="2"/>
  <c r="F36" i="2"/>
  <c r="F35" i="2"/>
  <c r="F34" i="2"/>
  <c r="G5" i="4"/>
  <c r="D7" i="6"/>
  <c r="C24" i="6" s="1"/>
  <c r="D24" i="6" s="1"/>
  <c r="D7" i="7"/>
  <c r="C24" i="7" s="1"/>
  <c r="D24" i="7" s="1"/>
  <c r="D7" i="4"/>
  <c r="C24" i="4" s="1"/>
  <c r="D24" i="4" s="1"/>
  <c r="E7" i="6"/>
  <c r="C25" i="6" s="1"/>
  <c r="D25" i="6" s="1"/>
  <c r="E7" i="7"/>
  <c r="C25" i="7" s="1"/>
  <c r="D25" i="7" s="1"/>
  <c r="E7" i="4"/>
  <c r="C25" i="4" s="1"/>
  <c r="D25" i="4" s="1"/>
  <c r="H19" i="2"/>
  <c r="H22" i="2" s="1"/>
  <c r="H23" i="2" s="1"/>
  <c r="G22" i="2"/>
  <c r="G23" i="2" s="1"/>
  <c r="F11" i="2"/>
  <c r="C36" i="2"/>
  <c r="C35" i="2"/>
  <c r="C34" i="2"/>
  <c r="D36" i="2"/>
  <c r="D34" i="2"/>
  <c r="D35" i="2"/>
  <c r="E11" i="2"/>
  <c r="H6" i="2"/>
  <c r="H10" i="2" s="1"/>
  <c r="F33" i="2" s="1"/>
  <c r="G6" i="4" s="1"/>
  <c r="G10" i="2"/>
  <c r="E33" i="2" s="1"/>
  <c r="F6" i="4" s="1"/>
  <c r="F29" i="1"/>
  <c r="H29" i="1" s="1"/>
  <c r="B24" i="4" l="1"/>
  <c r="F7" i="6"/>
  <c r="F7" i="7"/>
  <c r="B25" i="4"/>
  <c r="F7" i="4"/>
  <c r="C26" i="4" s="1"/>
  <c r="D26" i="4" s="1"/>
  <c r="H6" i="4"/>
  <c r="G11" i="2"/>
  <c r="H11" i="2"/>
  <c r="F28" i="1"/>
  <c r="H28" i="1" s="1"/>
  <c r="C26" i="7" l="1"/>
  <c r="H6" i="7"/>
  <c r="G7" i="7"/>
  <c r="C27" i="7" s="1"/>
  <c r="D27" i="7" s="1"/>
  <c r="C26" i="6"/>
  <c r="H6" i="6"/>
  <c r="G7" i="6"/>
  <c r="C27" i="6" s="1"/>
  <c r="D27" i="6" s="1"/>
  <c r="G7" i="4"/>
  <c r="E36" i="2"/>
  <c r="E35" i="2"/>
  <c r="E34" i="2"/>
  <c r="B27" i="1"/>
  <c r="F27" i="1" s="1"/>
  <c r="J27" i="1" s="1"/>
  <c r="B27" i="4" l="1"/>
  <c r="B26" i="4"/>
  <c r="D26" i="6"/>
  <c r="D26" i="7"/>
  <c r="C27" i="4"/>
  <c r="E19" i="1"/>
  <c r="D19" i="1"/>
  <c r="D27" i="4" l="1"/>
  <c r="D43" i="1"/>
  <c r="C3" i="1" l="1"/>
  <c r="D3" i="1"/>
  <c r="E3" i="1"/>
  <c r="F3" i="1"/>
  <c r="G3" i="1"/>
  <c r="H3" i="1"/>
  <c r="I3" i="1"/>
  <c r="J3" i="1"/>
  <c r="K3" i="1"/>
  <c r="L3" i="1"/>
  <c r="M3" i="1"/>
  <c r="B3" i="1"/>
  <c r="C10" i="1"/>
  <c r="D10" i="1"/>
  <c r="E10" i="1"/>
  <c r="F10" i="1"/>
  <c r="G10" i="1"/>
  <c r="H10" i="1"/>
  <c r="I10" i="1"/>
  <c r="J10" i="1"/>
  <c r="K10" i="1"/>
  <c r="L10" i="1"/>
  <c r="M10" i="1"/>
  <c r="B10" i="1"/>
  <c r="C11" i="1"/>
  <c r="D11" i="1"/>
  <c r="E11" i="1"/>
  <c r="F11" i="1"/>
  <c r="G11" i="1"/>
  <c r="H11" i="1"/>
  <c r="I11" i="1"/>
  <c r="J11" i="1"/>
  <c r="K11" i="1"/>
  <c r="K12" i="1" s="1"/>
  <c r="L11" i="1"/>
  <c r="M11" i="1"/>
  <c r="B11" i="1"/>
  <c r="F12" i="1" l="1"/>
  <c r="H12" i="1"/>
  <c r="D12" i="1"/>
  <c r="J12" i="1"/>
  <c r="G12" i="1"/>
  <c r="C12" i="1"/>
  <c r="B12" i="1"/>
  <c r="M12" i="1"/>
  <c r="I12" i="1"/>
  <c r="E12" i="1"/>
  <c r="L12" i="1"/>
  <c r="N11" i="1"/>
  <c r="N3" i="1"/>
  <c r="N12" i="1" l="1"/>
  <c r="C5" i="6" l="1"/>
  <c r="C5" i="7"/>
  <c r="C5" i="4"/>
  <c r="B52" i="2"/>
  <c r="B51" i="2"/>
  <c r="B50" i="2"/>
  <c r="B23" i="7" s="1"/>
  <c r="B39" i="2"/>
  <c r="B23" i="6" s="1"/>
  <c r="B34" i="2"/>
  <c r="C19" i="1"/>
  <c r="C7" i="4" l="1"/>
  <c r="H5" i="4"/>
  <c r="H7" i="4" s="1"/>
  <c r="C7" i="7"/>
  <c r="H5" i="7"/>
  <c r="H7" i="7" s="1"/>
  <c r="C7" i="6"/>
  <c r="H5" i="6"/>
  <c r="H7" i="6" s="1"/>
  <c r="B28" i="7"/>
  <c r="B28" i="6"/>
  <c r="B23" i="4"/>
  <c r="B28" i="4" s="1"/>
  <c r="C23" i="7" l="1"/>
  <c r="G13" i="6"/>
  <c r="L13" i="6"/>
  <c r="F13" i="6"/>
  <c r="K13" i="6"/>
  <c r="E13" i="6"/>
  <c r="J13" i="6"/>
  <c r="C13" i="6"/>
  <c r="H13" i="6"/>
  <c r="B13" i="6"/>
  <c r="D19" i="6"/>
  <c r="D13" i="6"/>
  <c r="I13" i="6"/>
  <c r="I13" i="4"/>
  <c r="C13" i="4"/>
  <c r="H13" i="4"/>
  <c r="B13" i="4"/>
  <c r="G13" i="4"/>
  <c r="L13" i="4"/>
  <c r="E13" i="4"/>
  <c r="J13" i="4"/>
  <c r="D13" i="4"/>
  <c r="D19" i="4"/>
  <c r="F13" i="4"/>
  <c r="K13" i="4"/>
  <c r="G13" i="7"/>
  <c r="L13" i="7"/>
  <c r="F13" i="7"/>
  <c r="K13" i="7"/>
  <c r="E13" i="7"/>
  <c r="J13" i="7"/>
  <c r="C13" i="7"/>
  <c r="H13" i="7"/>
  <c r="B13" i="7"/>
  <c r="D19" i="7"/>
  <c r="D13" i="7"/>
  <c r="I13" i="7"/>
  <c r="C23" i="6"/>
  <c r="H9" i="6"/>
  <c r="C23" i="4"/>
  <c r="H9" i="4"/>
  <c r="D23" i="6" l="1"/>
  <c r="D28" i="6" s="1"/>
  <c r="C28" i="6"/>
  <c r="D23" i="4"/>
  <c r="D28" i="4" s="1"/>
  <c r="C28" i="4"/>
  <c r="D23" i="7"/>
  <c r="D28" i="7" s="1"/>
  <c r="C28" i="7"/>
  <c r="C29" i="4" l="1"/>
  <c r="C34" i="4" s="1"/>
  <c r="C29" i="7"/>
  <c r="C34" i="7" s="1"/>
  <c r="C29" i="6"/>
  <c r="C34" i="6" s="1"/>
</calcChain>
</file>

<file path=xl/sharedStrings.xml><?xml version="1.0" encoding="utf-8"?>
<sst xmlns="http://schemas.openxmlformats.org/spreadsheetml/2006/main" count="224" uniqueCount="126">
  <si>
    <t>ян</t>
  </si>
  <si>
    <t>фв</t>
  </si>
  <si>
    <t>мр</t>
  </si>
  <si>
    <t>ап</t>
  </si>
  <si>
    <t>ма</t>
  </si>
  <si>
    <t>юн</t>
  </si>
  <si>
    <t>ил</t>
  </si>
  <si>
    <t>ав</t>
  </si>
  <si>
    <t>сн</t>
  </si>
  <si>
    <t>ок</t>
  </si>
  <si>
    <t>нб</t>
  </si>
  <si>
    <t>дк</t>
  </si>
  <si>
    <t>∑</t>
  </si>
  <si>
    <t>Q[1]</t>
  </si>
  <si>
    <t>[1] Q – объем продаж в месяц</t>
  </si>
  <si>
    <t>мрт</t>
  </si>
  <si>
    <t>май</t>
  </si>
  <si>
    <t>Р</t>
  </si>
  <si>
    <t>Q</t>
  </si>
  <si>
    <t>TR[1]</t>
  </si>
  <si>
    <t>20_</t>
  </si>
  <si>
    <t>Валовая выручка (в год)</t>
  </si>
  <si>
    <t>Динамика изменения валовой выручки (%)</t>
  </si>
  <si>
    <t xml:space="preserve">Абсолютное значение </t>
  </si>
  <si>
    <t>% изменение по сравнению с ситуацией без осуществления позиционирования</t>
  </si>
  <si>
    <t>Цена (P)</t>
  </si>
  <si>
    <t>Годовой объем продаж (Q)</t>
  </si>
  <si>
    <t>Годовая выручка (TR)</t>
  </si>
  <si>
    <t>Всего:</t>
  </si>
  <si>
    <t>=</t>
  </si>
  <si>
    <t>Постоянные издержки (в год)</t>
  </si>
  <si>
    <t>Динамика постоянных издержек (%)</t>
  </si>
  <si>
    <t xml:space="preserve">Количество </t>
  </si>
  <si>
    <t>Издержки на единицу</t>
  </si>
  <si>
    <t>Затраты на фактор производства</t>
  </si>
  <si>
    <t xml:space="preserve">Предельные затраты на производство и продажу одной единицы </t>
  </si>
  <si>
    <t>Q в год</t>
  </si>
  <si>
    <t xml:space="preserve">Переменные реальные издержки </t>
  </si>
  <si>
    <t>Динамика переменных издержек (%)</t>
  </si>
  <si>
    <t>Норма дисконта по годам</t>
  </si>
  <si>
    <t>Дисконтированные совокупные доходы</t>
  </si>
  <si>
    <t>Дисконтированные совокупные издержки</t>
  </si>
  <si>
    <t>Чистая приведенная стоимость бизнес-проекта</t>
  </si>
  <si>
    <t>Процентная ставка</t>
  </si>
  <si>
    <t>ЧПС бизнес-проекта</t>
  </si>
  <si>
    <t>k</t>
  </si>
  <si>
    <t>CV</t>
  </si>
  <si>
    <t>PV</t>
  </si>
  <si>
    <t>k*PV</t>
  </si>
  <si>
    <t>Сумма:</t>
  </si>
  <si>
    <t xml:space="preserve">Дюрация: </t>
  </si>
  <si>
    <t>Рулон</t>
  </si>
  <si>
    <t>1 тн</t>
  </si>
  <si>
    <t>Рулон (обрезь)</t>
  </si>
  <si>
    <t>0,035 тн</t>
  </si>
  <si>
    <t>Логистика (до ТЗ)</t>
  </si>
  <si>
    <t>Переработка (включает ПРР и упаковку)</t>
  </si>
  <si>
    <t>Логистика (до потребителя: Ростов-на-Дону+800 км. В расчете не учитываем, приводим к базису EXW)</t>
  </si>
  <si>
    <t>Затраты труда (премия МПП)</t>
  </si>
  <si>
    <t>Эл эн</t>
  </si>
  <si>
    <t>кВт час</t>
  </si>
  <si>
    <t>тн/час</t>
  </si>
  <si>
    <t>руб\кВт</t>
  </si>
  <si>
    <t>кВт\тн</t>
  </si>
  <si>
    <t>руб\тн</t>
  </si>
  <si>
    <t>чел</t>
  </si>
  <si>
    <t>тыс руб ФОТ</t>
  </si>
  <si>
    <t>руб\чел среднем</t>
  </si>
  <si>
    <t>руб\чел\мес</t>
  </si>
  <si>
    <t>КП (кран балки: https://btkran.com/tali/tali-kanatnye-2/ http://24-kran.ru/index.php/kran-mostovoi )</t>
  </si>
  <si>
    <t>фактическая амортизация</t>
  </si>
  <si>
    <t>Вариант 2 (Создание ТЗ в г. Белгород)</t>
  </si>
  <si>
    <t>Наименование типа</t>
  </si>
  <si>
    <t>капитальных затрат</t>
  </si>
  <si>
    <t>Затраты на приобретение одной единицы актива, тыс руб</t>
  </si>
  <si>
    <t>Количество единиц</t>
  </si>
  <si>
    <t>Капиталь-ные затраты на приобретение актива, тыс руб</t>
  </si>
  <si>
    <t>Ликвидационная стоимость капитального актива</t>
  </si>
  <si>
    <t>Фактическая амортизация</t>
  </si>
  <si>
    <t>Приобретение станов и аппарата продольной резки (включает доставку, пуско-наладочные работы)</t>
  </si>
  <si>
    <t>Модернизация кранового оборудования (2 кран-балки, грузоподъемностью 10-15 тонн)</t>
  </si>
  <si>
    <t>Модернизация инженерных сетей (увеличение мощности эл сетей до 2,5 МВт)</t>
  </si>
  <si>
    <t>тыс руб</t>
  </si>
  <si>
    <t>нулевая инфляция</t>
  </si>
  <si>
    <t>Проект 1 (Покупка действующего ТЗ)</t>
  </si>
  <si>
    <t>Наименование типа постоянных издержек</t>
  </si>
  <si>
    <t>Стоимость</t>
  </si>
  <si>
    <t xml:space="preserve"> одной </t>
  </si>
  <si>
    <t>единицы</t>
  </si>
  <si>
    <t xml:space="preserve"> в год, тыс руб</t>
  </si>
  <si>
    <t>Число единиц фактора производства</t>
  </si>
  <si>
    <t>Суммарные расходы на фактор производства        (в год), тыс руб</t>
  </si>
  <si>
    <r>
      <t>1.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Оплата труда (включает отчисления в Фонды РФ)</t>
    </r>
  </si>
  <si>
    <r>
      <t>2.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Ремонт и оборудование</t>
    </r>
  </si>
  <si>
    <r>
      <t>3.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Арендные платежи (или земельные, имущественные  налоги).</t>
    </r>
  </si>
  <si>
    <t xml:space="preserve">Всего: </t>
  </si>
  <si>
    <t>Проект 2 (Создание ТЗ в г. Белгород)</t>
  </si>
  <si>
    <t xml:space="preserve">Оплата труда </t>
  </si>
  <si>
    <t>Ремонт и оборудование</t>
  </si>
  <si>
    <t>Проект 1 (аналогичен Проекту 2)</t>
  </si>
  <si>
    <t>Проект 3</t>
  </si>
  <si>
    <t>Кап затраты</t>
  </si>
  <si>
    <t>FC</t>
  </si>
  <si>
    <t>TC1</t>
  </si>
  <si>
    <t>TC2</t>
  </si>
  <si>
    <t>Profit</t>
  </si>
  <si>
    <t>Profit rate (cost)</t>
  </si>
  <si>
    <t>Profit rate (revenew)</t>
  </si>
  <si>
    <t>TC</t>
  </si>
  <si>
    <t>2021(я)</t>
  </si>
  <si>
    <t>2021(д)</t>
  </si>
  <si>
    <t>2022(д)</t>
  </si>
  <si>
    <t>2023(д)</t>
  </si>
  <si>
    <t>2024(д)</t>
  </si>
  <si>
    <t>2025(д)</t>
  </si>
  <si>
    <t>Проект 1</t>
  </si>
  <si>
    <t>IRR</t>
  </si>
  <si>
    <t>Индекс прибыльности (Profitability Index)</t>
  </si>
  <si>
    <r>
      <t>PI = PV</t>
    </r>
    <r>
      <rPr>
        <b/>
        <sz val="13"/>
        <color rgb="FF333333"/>
        <rFont val="Arial"/>
        <family val="2"/>
        <charset val="204"/>
      </rPr>
      <t>in</t>
    </r>
    <r>
      <rPr>
        <b/>
        <sz val="12"/>
        <color rgb="FF333333"/>
        <rFont val="Arial"/>
        <family val="2"/>
        <charset val="204"/>
      </rPr>
      <t> / PV</t>
    </r>
    <r>
      <rPr>
        <b/>
        <sz val="13"/>
        <color rgb="FF333333"/>
        <rFont val="Arial"/>
        <family val="2"/>
        <charset val="204"/>
      </rPr>
      <t>out</t>
    </r>
    <r>
      <rPr>
        <b/>
        <sz val="12"/>
        <color rgb="FF333333"/>
        <rFont val="Arial"/>
        <family val="2"/>
        <charset val="204"/>
      </rPr>
      <t>,</t>
    </r>
  </si>
  <si>
    <t>или</t>
  </si>
  <si>
    <r>
      <t>PI = 1 + NPV / PV</t>
    </r>
    <r>
      <rPr>
        <b/>
        <sz val="13"/>
        <color rgb="FF333333"/>
        <rFont val="Arial"/>
        <family val="2"/>
        <charset val="204"/>
      </rPr>
      <t>out</t>
    </r>
    <r>
      <rPr>
        <b/>
        <sz val="12"/>
        <color rgb="FF333333"/>
        <rFont val="Arial"/>
        <family val="2"/>
        <charset val="204"/>
      </rPr>
      <t>.</t>
    </r>
  </si>
  <si>
    <t>Кумулята</t>
  </si>
  <si>
    <t>При ликвидации 1</t>
  </si>
  <si>
    <t>При ликвидации 2</t>
  </si>
  <si>
    <t>Персонал (собственного актива)</t>
  </si>
  <si>
    <t>Персонал (предположительного продавца)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</si>
</sst>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4"/>
      <color rgb="FF333333"/>
      <name val="Arial"/>
      <family val="2"/>
      <charset val="204"/>
    </font>
    <font>
      <b/>
      <sz val="12"/>
      <color rgb="FF333333"/>
      <name val="Arial"/>
      <family val="2"/>
      <charset val="204"/>
    </font>
    <font>
      <b/>
      <sz val="13"/>
      <color rgb="FF333333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91">
    <xf numFmtId="0" fontId="0" fillId="0" borderId="0" xfId="0"/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0" xfId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9" fontId="2" fillId="0" borderId="4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5" xfId="0" applyFont="1" applyBorder="1" applyAlignment="1">
      <alignment vertical="top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164" fontId="2" fillId="0" borderId="5" xfId="2" applyNumberFormat="1" applyFont="1" applyBorder="1" applyAlignment="1">
      <alignment vertical="center" wrapText="1"/>
    </xf>
    <xf numFmtId="0" fontId="2" fillId="0" borderId="0" xfId="0" applyFont="1" applyFill="1" applyBorder="1" applyAlignment="1">
      <alignment horizontal="justify" vertical="center" wrapText="1"/>
    </xf>
    <xf numFmtId="3" fontId="0" fillId="0" borderId="0" xfId="0" applyNumberFormat="1"/>
    <xf numFmtId="0" fontId="0" fillId="3" borderId="0" xfId="0" applyFill="1"/>
    <xf numFmtId="0" fontId="6" fillId="0" borderId="0" xfId="0" applyFont="1" applyAlignment="1">
      <alignment horizontal="left" vertical="center" indent="5"/>
    </xf>
    <xf numFmtId="9" fontId="0" fillId="0" borderId="0" xfId="2" applyFont="1"/>
    <xf numFmtId="0" fontId="2" fillId="0" borderId="0" xfId="0" applyFont="1" applyAlignment="1">
      <alignment horizontal="left" vertical="center" indent="5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vertical="center" wrapText="1"/>
    </xf>
    <xf numFmtId="9" fontId="2" fillId="0" borderId="5" xfId="2" applyFont="1" applyBorder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" fontId="2" fillId="0" borderId="0" xfId="0" applyNumberFormat="1" applyFont="1" applyBorder="1" applyAlignment="1">
      <alignment vertical="center" wrapText="1"/>
    </xf>
    <xf numFmtId="1" fontId="2" fillId="0" borderId="0" xfId="2" applyNumberFormat="1" applyFont="1" applyBorder="1" applyAlignment="1">
      <alignment vertical="center" wrapText="1"/>
    </xf>
    <xf numFmtId="164" fontId="0" fillId="0" borderId="0" xfId="2" applyNumberFormat="1" applyFont="1"/>
    <xf numFmtId="164" fontId="2" fillId="0" borderId="0" xfId="2" applyNumberFormat="1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10" fontId="0" fillId="0" borderId="0" xfId="0" applyNumberFormat="1"/>
    <xf numFmtId="2" fontId="2" fillId="2" borderId="5" xfId="0" applyNumberFormat="1" applyFont="1" applyFill="1" applyBorder="1" applyAlignment="1">
      <alignment vertical="center" wrapText="1"/>
    </xf>
    <xf numFmtId="1" fontId="6" fillId="0" borderId="5" xfId="0" applyNumberFormat="1" applyFont="1" applyBorder="1" applyAlignment="1">
      <alignment vertical="center" wrapText="1"/>
    </xf>
    <xf numFmtId="1" fontId="2" fillId="0" borderId="5" xfId="0" applyNumberFormat="1" applyFont="1" applyBorder="1" applyAlignment="1">
      <alignment vertical="center" wrapText="1"/>
    </xf>
    <xf numFmtId="1" fontId="2" fillId="3" borderId="5" xfId="0" applyNumberFormat="1" applyFont="1" applyFill="1" applyBorder="1" applyAlignment="1">
      <alignment vertical="center" wrapText="1"/>
    </xf>
    <xf numFmtId="0" fontId="0" fillId="0" borderId="6" xfId="0" applyBorder="1"/>
    <xf numFmtId="0" fontId="2" fillId="0" borderId="0" xfId="0" applyFont="1"/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2" fontId="0" fillId="0" borderId="0" xfId="0" applyNumberFormat="1"/>
    <xf numFmtId="1" fontId="2" fillId="0" borderId="5" xfId="0" applyNumberFormat="1" applyFont="1" applyBorder="1" applyAlignment="1">
      <alignment vertical="center"/>
    </xf>
    <xf numFmtId="9" fontId="0" fillId="3" borderId="4" xfId="0" applyNumberFormat="1" applyFill="1" applyBorder="1"/>
    <xf numFmtId="2" fontId="11" fillId="0" borderId="5" xfId="0" applyNumberFormat="1" applyFont="1" applyBorder="1" applyAlignment="1">
      <alignment vertical="top"/>
    </xf>
    <xf numFmtId="0" fontId="2" fillId="0" borderId="14" xfId="0" applyFont="1" applyBorder="1" applyAlignment="1">
      <alignment vertical="center" wrapText="1"/>
    </xf>
    <xf numFmtId="0" fontId="0" fillId="0" borderId="10" xfId="0" applyBorder="1"/>
    <xf numFmtId="0" fontId="0" fillId="0" borderId="10" xfId="0" applyNumberFormat="1" applyBorder="1"/>
    <xf numFmtId="9" fontId="0" fillId="0" borderId="10" xfId="2" applyFont="1" applyBorder="1"/>
    <xf numFmtId="3" fontId="2" fillId="0" borderId="14" xfId="0" applyNumberFormat="1" applyFont="1" applyBorder="1" applyAlignment="1">
      <alignment vertical="center" wrapText="1"/>
    </xf>
    <xf numFmtId="3" fontId="0" fillId="0" borderId="10" xfId="0" applyNumberFormat="1" applyBorder="1"/>
    <xf numFmtId="0" fontId="2" fillId="0" borderId="10" xfId="0" applyFont="1" applyFill="1" applyBorder="1" applyAlignment="1">
      <alignment vertical="center" wrapText="1"/>
    </xf>
    <xf numFmtId="0" fontId="0" fillId="0" borderId="0" xfId="0" applyBorder="1"/>
    <xf numFmtId="3" fontId="0" fillId="0" borderId="0" xfId="0" applyNumberFormat="1" applyBorder="1"/>
    <xf numFmtId="165" fontId="0" fillId="0" borderId="0" xfId="0" applyNumberFormat="1"/>
    <xf numFmtId="2" fontId="2" fillId="3" borderId="5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9" fontId="2" fillId="3" borderId="4" xfId="0" applyNumberFormat="1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2" fillId="0" borderId="0" xfId="0" applyFont="1"/>
    <xf numFmtId="2" fontId="2" fillId="0" borderId="5" xfId="0" applyNumberFormat="1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2" xfId="1" applyBorder="1" applyAlignment="1">
      <alignment vertical="center" wrapText="1"/>
    </xf>
    <xf numFmtId="0" fontId="3" fillId="0" borderId="3" xfId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'Проект 1'!$A$13</c:f>
              <c:strCache>
                <c:ptCount val="1"/>
                <c:pt idx="0">
                  <c:v>ЧПС бизнес-проекта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'Проект 1'!$B$12:$L$12</c:f>
              <c:numCache>
                <c:formatCode>0%</c:formatCode>
                <c:ptCount val="11"/>
                <c:pt idx="0">
                  <c:v>0.01</c:v>
                </c:pt>
                <c:pt idx="1">
                  <c:v>0.03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0.09</c:v>
                </c:pt>
                <c:pt idx="5">
                  <c:v>0.11</c:v>
                </c:pt>
                <c:pt idx="6">
                  <c:v>0.13</c:v>
                </c:pt>
                <c:pt idx="7">
                  <c:v>0.15</c:v>
                </c:pt>
                <c:pt idx="8">
                  <c:v>0.17</c:v>
                </c:pt>
                <c:pt idx="9">
                  <c:v>0.19</c:v>
                </c:pt>
                <c:pt idx="10">
                  <c:v>0.21</c:v>
                </c:pt>
              </c:numCache>
            </c:numRef>
          </c:xVal>
          <c:yVal>
            <c:numRef>
              <c:f>'Проект 1'!$B$13:$L$13</c:f>
              <c:numCache>
                <c:formatCode>0</c:formatCode>
                <c:ptCount val="11"/>
                <c:pt idx="0">
                  <c:v>895860.16046094638</c:v>
                </c:pt>
                <c:pt idx="1">
                  <c:v>878464.81753937469</c:v>
                </c:pt>
                <c:pt idx="2">
                  <c:v>861732.15434814838</c:v>
                </c:pt>
                <c:pt idx="3">
                  <c:v>845625.01127622044</c:v>
                </c:pt>
                <c:pt idx="4">
                  <c:v>830108.9560234457</c:v>
                </c:pt>
                <c:pt idx="5">
                  <c:v>815152.03789689718</c:v>
                </c:pt>
                <c:pt idx="6">
                  <c:v>800724.56819960708</c:v>
                </c:pt>
                <c:pt idx="7">
                  <c:v>786798.92353526608</c:v>
                </c:pt>
                <c:pt idx="8">
                  <c:v>773349.36928679992</c:v>
                </c:pt>
                <c:pt idx="9">
                  <c:v>760351.90089542512</c:v>
                </c:pt>
                <c:pt idx="10">
                  <c:v>747784.10088062473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A14-4685-87A1-F95DB3F2C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897792"/>
        <c:axId val="388898120"/>
      </c:scatterChart>
      <c:valAx>
        <c:axId val="388897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8898120"/>
        <c:crosses val="autoZero"/>
        <c:crossBetween val="midCat"/>
      </c:valAx>
      <c:valAx>
        <c:axId val="388898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889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'Проект 2'!$A$13</c:f>
              <c:strCache>
                <c:ptCount val="1"/>
                <c:pt idx="0">
                  <c:v>ЧПС бизнес-проекта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'Проект 2'!$B$12:$L$12</c:f>
              <c:numCache>
                <c:formatCode>0%</c:formatCode>
                <c:ptCount val="11"/>
                <c:pt idx="0">
                  <c:v>0.01</c:v>
                </c:pt>
                <c:pt idx="1">
                  <c:v>0.03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0.09</c:v>
                </c:pt>
                <c:pt idx="5">
                  <c:v>0.11</c:v>
                </c:pt>
                <c:pt idx="6">
                  <c:v>0.13</c:v>
                </c:pt>
                <c:pt idx="7">
                  <c:v>0.15</c:v>
                </c:pt>
                <c:pt idx="8">
                  <c:v>0.17</c:v>
                </c:pt>
                <c:pt idx="9">
                  <c:v>0.19</c:v>
                </c:pt>
                <c:pt idx="10">
                  <c:v>0.21</c:v>
                </c:pt>
              </c:numCache>
            </c:numRef>
          </c:xVal>
          <c:yVal>
            <c:numRef>
              <c:f>'Проект 2'!$B$13:$L$13</c:f>
              <c:numCache>
                <c:formatCode>0</c:formatCode>
                <c:ptCount val="11"/>
                <c:pt idx="0">
                  <c:v>916830.56942736078</c:v>
                </c:pt>
                <c:pt idx="1">
                  <c:v>899028.03409867419</c:v>
                </c:pt>
                <c:pt idx="2">
                  <c:v>881903.69059203274</c:v>
                </c:pt>
                <c:pt idx="3">
                  <c:v>865419.50945947145</c:v>
                </c:pt>
                <c:pt idx="4">
                  <c:v>849540.25240516919</c:v>
                </c:pt>
                <c:pt idx="5">
                  <c:v>834233.22083030129</c:v>
                </c:pt>
                <c:pt idx="6">
                  <c:v>819468.03108109254</c:v>
                </c:pt>
                <c:pt idx="7">
                  <c:v>805216.41314924741</c:v>
                </c:pt>
                <c:pt idx="8">
                  <c:v>791452.03001849109</c:v>
                </c:pt>
                <c:pt idx="9">
                  <c:v>778150.31522826431</c:v>
                </c:pt>
                <c:pt idx="10">
                  <c:v>765288.32654680533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411-4F46-9EF4-35800A20F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897792"/>
        <c:axId val="388898120"/>
      </c:scatterChart>
      <c:valAx>
        <c:axId val="388897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8898120"/>
        <c:crosses val="autoZero"/>
        <c:crossBetween val="midCat"/>
      </c:valAx>
      <c:valAx>
        <c:axId val="388898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889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'Проект 3'!$A$13</c:f>
              <c:strCache>
                <c:ptCount val="1"/>
                <c:pt idx="0">
                  <c:v>ЧПС бизнес-проекта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'Проект 3'!$B$12:$L$12</c:f>
              <c:numCache>
                <c:formatCode>0%</c:formatCode>
                <c:ptCount val="11"/>
                <c:pt idx="0">
                  <c:v>0.01</c:v>
                </c:pt>
                <c:pt idx="1">
                  <c:v>0.03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0.09</c:v>
                </c:pt>
                <c:pt idx="5">
                  <c:v>0.12</c:v>
                </c:pt>
                <c:pt idx="6">
                  <c:v>0.15</c:v>
                </c:pt>
                <c:pt idx="7">
                  <c:v>0.15</c:v>
                </c:pt>
                <c:pt idx="8">
                  <c:v>0.17</c:v>
                </c:pt>
                <c:pt idx="9">
                  <c:v>0.19</c:v>
                </c:pt>
                <c:pt idx="10">
                  <c:v>0.21</c:v>
                </c:pt>
              </c:numCache>
            </c:numRef>
          </c:xVal>
          <c:yVal>
            <c:numRef>
              <c:f>'Проект 3'!$B$13:$L$13</c:f>
              <c:numCache>
                <c:formatCode>0</c:formatCode>
                <c:ptCount val="11"/>
                <c:pt idx="0">
                  <c:v>1394486.9268866642</c:v>
                </c:pt>
                <c:pt idx="1">
                  <c:v>1367409.5108306126</c:v>
                </c:pt>
                <c:pt idx="2">
                  <c:v>1341363.6153862199</c:v>
                </c:pt>
                <c:pt idx="3">
                  <c:v>1316291.398276197</c:v>
                </c:pt>
                <c:pt idx="4">
                  <c:v>1292139.2625280099</c:v>
                </c:pt>
                <c:pt idx="5">
                  <c:v>1257528.3894245811</c:v>
                </c:pt>
                <c:pt idx="6">
                  <c:v>1224723.3010048096</c:v>
                </c:pt>
                <c:pt idx="7">
                  <c:v>1224723.3010048096</c:v>
                </c:pt>
                <c:pt idx="8">
                  <c:v>1203787.8599619924</c:v>
                </c:pt>
                <c:pt idx="9">
                  <c:v>1183556.1312231354</c:v>
                </c:pt>
                <c:pt idx="10">
                  <c:v>1163993.2199632488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1AA-4BC6-8256-CA0E2C242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897792"/>
        <c:axId val="388898120"/>
      </c:scatterChart>
      <c:valAx>
        <c:axId val="388897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8898120"/>
        <c:crosses val="autoZero"/>
        <c:crossBetween val="midCat"/>
      </c:valAx>
      <c:valAx>
        <c:axId val="388898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889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192443</xdr:colOff>
      <xdr:row>0</xdr:row>
      <xdr:rowOff>9719</xdr:rowOff>
    </xdr:from>
    <xdr:to>
      <xdr:col>17</xdr:col>
      <xdr:colOff>583164</xdr:colOff>
      <xdr:row>9</xdr:row>
      <xdr:rowOff>97194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358341</xdr:colOff>
      <xdr:row>36</xdr:row>
      <xdr:rowOff>47110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862985"/>
          <a:ext cx="2428571" cy="1019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192443</xdr:colOff>
      <xdr:row>0</xdr:row>
      <xdr:rowOff>9719</xdr:rowOff>
    </xdr:from>
    <xdr:to>
      <xdr:col>22</xdr:col>
      <xdr:colOff>174949</xdr:colOff>
      <xdr:row>12</xdr:row>
      <xdr:rowOff>97193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358341</xdr:colOff>
      <xdr:row>36</xdr:row>
      <xdr:rowOff>47110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848600"/>
          <a:ext cx="2425266" cy="9996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250760</xdr:colOff>
      <xdr:row>0</xdr:row>
      <xdr:rowOff>9719</xdr:rowOff>
    </xdr:from>
    <xdr:to>
      <xdr:col>23</xdr:col>
      <xdr:colOff>233266</xdr:colOff>
      <xdr:row>12</xdr:row>
      <xdr:rowOff>97193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358341</xdr:colOff>
      <xdr:row>36</xdr:row>
      <xdr:rowOff>47110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848600"/>
          <a:ext cx="2425266" cy="999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topLeftCell="A32" zoomScale="70" zoomScaleNormal="70" workbookViewId="0">
      <selection activeCell="K34" sqref="K32:K34"/>
    </sheetView>
  </sheetViews>
  <sheetFormatPr defaultRowHeight="15" x14ac:dyDescent="0.25"/>
  <cols>
    <col min="1" max="1" width="38.42578125" customWidth="1"/>
    <col min="2" max="4" width="15" customWidth="1"/>
    <col min="5" max="5" width="14" customWidth="1"/>
    <col min="6" max="6" width="18.85546875" customWidth="1"/>
    <col min="7" max="7" width="23.42578125" customWidth="1"/>
    <col min="8" max="8" width="25.42578125" customWidth="1"/>
    <col min="9" max="14" width="14" customWidth="1"/>
    <col min="16" max="16" width="11.5703125" bestFit="1" customWidth="1"/>
  </cols>
  <sheetData>
    <row r="1" spans="1:15" ht="19.5" thickBot="1" x14ac:dyDescent="0.3">
      <c r="A1" s="6"/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</row>
    <row r="2" spans="1:15" ht="15" customHeight="1" thickBot="1" x14ac:dyDescent="0.3">
      <c r="A2" s="81" t="s">
        <v>13</v>
      </c>
      <c r="B2" s="21">
        <v>2500</v>
      </c>
      <c r="C2" s="22">
        <v>3000</v>
      </c>
      <c r="D2" s="22">
        <v>3500</v>
      </c>
      <c r="E2" s="22">
        <v>4000</v>
      </c>
      <c r="F2" s="22">
        <v>5000</v>
      </c>
      <c r="G2" s="22">
        <v>6000</v>
      </c>
      <c r="H2" s="22">
        <v>7000</v>
      </c>
      <c r="I2" s="22">
        <v>6500</v>
      </c>
      <c r="J2" s="22">
        <v>5500</v>
      </c>
      <c r="K2" s="22">
        <v>3500</v>
      </c>
      <c r="L2" s="22">
        <v>2000</v>
      </c>
      <c r="M2" s="22">
        <v>1500</v>
      </c>
      <c r="N2" s="22">
        <f>SUM(B2:M2)</f>
        <v>50000</v>
      </c>
      <c r="O2" s="23"/>
    </row>
    <row r="3" spans="1:15" ht="15.75" customHeight="1" thickBot="1" x14ac:dyDescent="0.3">
      <c r="A3" s="82"/>
      <c r="B3" s="4">
        <f t="shared" ref="B3:M3" si="0">B2*$B$4</f>
        <v>115000</v>
      </c>
      <c r="C3" s="4">
        <f t="shared" si="0"/>
        <v>138000</v>
      </c>
      <c r="D3" s="4">
        <f t="shared" si="0"/>
        <v>161000</v>
      </c>
      <c r="E3" s="4">
        <f t="shared" si="0"/>
        <v>184000</v>
      </c>
      <c r="F3" s="4">
        <f t="shared" si="0"/>
        <v>230000</v>
      </c>
      <c r="G3" s="4">
        <f t="shared" si="0"/>
        <v>276000</v>
      </c>
      <c r="H3" s="4">
        <f t="shared" si="0"/>
        <v>322000</v>
      </c>
      <c r="I3" s="4">
        <f t="shared" si="0"/>
        <v>299000</v>
      </c>
      <c r="J3" s="4">
        <f t="shared" si="0"/>
        <v>253000</v>
      </c>
      <c r="K3" s="4">
        <f t="shared" si="0"/>
        <v>161000</v>
      </c>
      <c r="L3" s="4">
        <f t="shared" si="0"/>
        <v>92000</v>
      </c>
      <c r="M3" s="4">
        <f t="shared" si="0"/>
        <v>69000</v>
      </c>
      <c r="N3" s="4">
        <f>SUM(B3:M3)</f>
        <v>2300000</v>
      </c>
    </row>
    <row r="4" spans="1:15" x14ac:dyDescent="0.25">
      <c r="B4">
        <v>46</v>
      </c>
      <c r="C4" t="s">
        <v>82</v>
      </c>
      <c r="D4" t="s">
        <v>83</v>
      </c>
      <c r="O4" s="23"/>
    </row>
    <row r="5" spans="1:15" x14ac:dyDescent="0.25">
      <c r="B5">
        <v>20</v>
      </c>
    </row>
    <row r="6" spans="1:15" x14ac:dyDescent="0.25">
      <c r="A6" s="5" t="s">
        <v>14</v>
      </c>
      <c r="O6" s="23"/>
    </row>
    <row r="8" spans="1:15" ht="15.75" thickBot="1" x14ac:dyDescent="0.3"/>
    <row r="9" spans="1:15" ht="19.5" thickBot="1" x14ac:dyDescent="0.3">
      <c r="A9" s="6"/>
      <c r="B9" s="8" t="s">
        <v>0</v>
      </c>
      <c r="C9" s="8" t="s">
        <v>1</v>
      </c>
      <c r="D9" s="8" t="s">
        <v>15</v>
      </c>
      <c r="E9" s="8" t="s">
        <v>3</v>
      </c>
      <c r="F9" s="8" t="s">
        <v>16</v>
      </c>
      <c r="G9" s="8" t="s">
        <v>5</v>
      </c>
      <c r="H9" s="8" t="s">
        <v>6</v>
      </c>
      <c r="I9" s="8" t="s">
        <v>7</v>
      </c>
      <c r="J9" s="8" t="s">
        <v>8</v>
      </c>
      <c r="K9" s="8" t="s">
        <v>9</v>
      </c>
      <c r="L9" s="8" t="s">
        <v>10</v>
      </c>
      <c r="M9" s="8" t="s">
        <v>11</v>
      </c>
      <c r="N9" s="8" t="s">
        <v>12</v>
      </c>
    </row>
    <row r="10" spans="1:15" ht="19.5" thickBot="1" x14ac:dyDescent="0.3">
      <c r="A10" s="1" t="s">
        <v>17</v>
      </c>
      <c r="B10" s="9">
        <f t="shared" ref="B10:M10" si="1">$B$4*$B$5</f>
        <v>920</v>
      </c>
      <c r="C10" s="9">
        <f t="shared" si="1"/>
        <v>920</v>
      </c>
      <c r="D10" s="9">
        <f t="shared" si="1"/>
        <v>920</v>
      </c>
      <c r="E10" s="9">
        <f t="shared" si="1"/>
        <v>920</v>
      </c>
      <c r="F10" s="9">
        <f t="shared" si="1"/>
        <v>920</v>
      </c>
      <c r="G10" s="9">
        <f t="shared" si="1"/>
        <v>920</v>
      </c>
      <c r="H10" s="9">
        <f t="shared" si="1"/>
        <v>920</v>
      </c>
      <c r="I10" s="9">
        <f t="shared" si="1"/>
        <v>920</v>
      </c>
      <c r="J10" s="9">
        <f t="shared" si="1"/>
        <v>920</v>
      </c>
      <c r="K10" s="9">
        <f t="shared" si="1"/>
        <v>920</v>
      </c>
      <c r="L10" s="9">
        <f t="shared" si="1"/>
        <v>920</v>
      </c>
      <c r="M10" s="9">
        <f t="shared" si="1"/>
        <v>920</v>
      </c>
      <c r="N10" s="9"/>
    </row>
    <row r="11" spans="1:15" ht="19.5" thickBot="1" x14ac:dyDescent="0.3">
      <c r="A11" s="1" t="s">
        <v>18</v>
      </c>
      <c r="B11" s="21">
        <f t="shared" ref="B11:M11" si="2">B2/$B$5</f>
        <v>125</v>
      </c>
      <c r="C11" s="21">
        <f t="shared" si="2"/>
        <v>150</v>
      </c>
      <c r="D11" s="21">
        <f t="shared" si="2"/>
        <v>175</v>
      </c>
      <c r="E11" s="21">
        <f t="shared" si="2"/>
        <v>200</v>
      </c>
      <c r="F11" s="21">
        <f t="shared" si="2"/>
        <v>250</v>
      </c>
      <c r="G11" s="21">
        <f t="shared" si="2"/>
        <v>300</v>
      </c>
      <c r="H11" s="21">
        <f t="shared" si="2"/>
        <v>350</v>
      </c>
      <c r="I11" s="21">
        <f t="shared" si="2"/>
        <v>325</v>
      </c>
      <c r="J11" s="21">
        <f t="shared" si="2"/>
        <v>275</v>
      </c>
      <c r="K11" s="21">
        <f t="shared" si="2"/>
        <v>175</v>
      </c>
      <c r="L11" s="21">
        <f t="shared" si="2"/>
        <v>100</v>
      </c>
      <c r="M11" s="21">
        <f t="shared" si="2"/>
        <v>75</v>
      </c>
      <c r="N11" s="9">
        <f>SUM(B11:M11)</f>
        <v>2500</v>
      </c>
    </row>
    <row r="12" spans="1:15" ht="15" customHeight="1" thickBot="1" x14ac:dyDescent="0.3">
      <c r="A12" s="81" t="s">
        <v>19</v>
      </c>
      <c r="B12" s="3">
        <f t="shared" ref="B12:M12" si="3">B10*B11</f>
        <v>115000</v>
      </c>
      <c r="C12" s="3">
        <f t="shared" si="3"/>
        <v>138000</v>
      </c>
      <c r="D12" s="3">
        <f t="shared" si="3"/>
        <v>161000</v>
      </c>
      <c r="E12" s="3">
        <f t="shared" si="3"/>
        <v>184000</v>
      </c>
      <c r="F12" s="3">
        <f t="shared" si="3"/>
        <v>230000</v>
      </c>
      <c r="G12" s="3">
        <f t="shared" si="3"/>
        <v>276000</v>
      </c>
      <c r="H12" s="3">
        <f t="shared" si="3"/>
        <v>322000</v>
      </c>
      <c r="I12" s="3">
        <f t="shared" si="3"/>
        <v>299000</v>
      </c>
      <c r="J12" s="3">
        <f t="shared" si="3"/>
        <v>253000</v>
      </c>
      <c r="K12" s="3">
        <f t="shared" si="3"/>
        <v>161000</v>
      </c>
      <c r="L12" s="3">
        <f t="shared" si="3"/>
        <v>92000</v>
      </c>
      <c r="M12" s="3">
        <f t="shared" si="3"/>
        <v>69000</v>
      </c>
      <c r="N12" s="9">
        <f>SUM(B12:M12)</f>
        <v>2300000</v>
      </c>
    </row>
    <row r="13" spans="1:15" ht="15.75" customHeight="1" thickBot="1" x14ac:dyDescent="0.3">
      <c r="A13" s="8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6" spans="1:15" ht="15.75" thickBot="1" x14ac:dyDescent="0.3">
      <c r="A16" s="5"/>
    </row>
    <row r="17" spans="1:11" ht="19.5" thickBot="1" x14ac:dyDescent="0.3">
      <c r="A17" s="6"/>
      <c r="B17" s="8">
        <v>2021</v>
      </c>
      <c r="C17" s="8">
        <v>2022</v>
      </c>
      <c r="D17" s="8">
        <v>2023</v>
      </c>
      <c r="E17" s="8">
        <v>2024</v>
      </c>
      <c r="F17" s="8">
        <v>2025</v>
      </c>
      <c r="G17" t="s">
        <v>122</v>
      </c>
      <c r="H17" t="s">
        <v>123</v>
      </c>
    </row>
    <row r="18" spans="1:11" ht="41.25" customHeight="1" thickBot="1" x14ac:dyDescent="0.3">
      <c r="A18" s="1" t="s">
        <v>21</v>
      </c>
      <c r="B18" s="2">
        <f>N3</f>
        <v>2300000</v>
      </c>
      <c r="C18" s="2">
        <f>N2*1.5*B4</f>
        <v>3450000</v>
      </c>
      <c r="D18" s="2">
        <f>C18*1.33</f>
        <v>4588500</v>
      </c>
      <c r="E18" s="2">
        <f>D18*1.1</f>
        <v>5047350</v>
      </c>
      <c r="F18" s="2">
        <f>E18</f>
        <v>5047350</v>
      </c>
      <c r="G18">
        <f>F18+266000</f>
        <v>5313350</v>
      </c>
      <c r="H18">
        <f>F18+151801</f>
        <v>5199151</v>
      </c>
    </row>
    <row r="19" spans="1:11" ht="41.25" customHeight="1" thickBot="1" x14ac:dyDescent="0.3">
      <c r="A19" s="1" t="s">
        <v>22</v>
      </c>
      <c r="B19" s="2"/>
      <c r="C19" s="24">
        <f>C18/B18-1</f>
        <v>0.5</v>
      </c>
      <c r="D19" s="24">
        <f>D18/C18-1</f>
        <v>0.33000000000000007</v>
      </c>
      <c r="E19" s="24">
        <f>E18/D18-1</f>
        <v>0.10000000000000009</v>
      </c>
      <c r="F19" s="2">
        <v>0</v>
      </c>
    </row>
    <row r="21" spans="1:11" hidden="1" x14ac:dyDescent="0.25"/>
    <row r="22" spans="1:11" ht="215.25" hidden="1" customHeight="1" thickBot="1" x14ac:dyDescent="0.3">
      <c r="A22" s="10"/>
      <c r="B22" s="11" t="s">
        <v>23</v>
      </c>
      <c r="C22" s="11" t="s">
        <v>24</v>
      </c>
    </row>
    <row r="23" spans="1:11" ht="19.5" hidden="1" thickBot="1" x14ac:dyDescent="0.3">
      <c r="A23" s="12" t="s">
        <v>25</v>
      </c>
      <c r="B23" s="13"/>
      <c r="C23" s="13"/>
    </row>
    <row r="24" spans="1:11" ht="36.75" hidden="1" customHeight="1" thickBot="1" x14ac:dyDescent="0.3">
      <c r="A24" s="12" t="s">
        <v>26</v>
      </c>
      <c r="B24" s="13"/>
      <c r="C24" s="13"/>
    </row>
    <row r="25" spans="1:11" ht="32.25" hidden="1" customHeight="1" thickBot="1" x14ac:dyDescent="0.3">
      <c r="A25" s="12" t="s">
        <v>27</v>
      </c>
      <c r="B25" s="13"/>
      <c r="C25" s="13"/>
    </row>
    <row r="27" spans="1:11" ht="18.75" x14ac:dyDescent="0.25">
      <c r="A27" s="25" t="s">
        <v>59</v>
      </c>
      <c r="B27">
        <f>(620+750+250+250)*0.7</f>
        <v>1309</v>
      </c>
      <c r="C27" t="s">
        <v>60</v>
      </c>
      <c r="D27">
        <f>(97.92+106+226.8+100)/8</f>
        <v>66.34</v>
      </c>
      <c r="E27" t="s">
        <v>61</v>
      </c>
      <c r="F27">
        <f>B27/D27</f>
        <v>19.731685257763036</v>
      </c>
      <c r="G27" t="s">
        <v>63</v>
      </c>
      <c r="H27">
        <v>4.71</v>
      </c>
      <c r="I27" t="s">
        <v>62</v>
      </c>
      <c r="J27">
        <f>F27*H27</f>
        <v>92.936237564063902</v>
      </c>
      <c r="K27" t="s">
        <v>64</v>
      </c>
    </row>
    <row r="28" spans="1:11" ht="56.25" x14ac:dyDescent="0.25">
      <c r="A28" s="25" t="s">
        <v>125</v>
      </c>
      <c r="B28">
        <v>95</v>
      </c>
      <c r="C28" t="s">
        <v>65</v>
      </c>
      <c r="D28" s="26">
        <v>39755000</v>
      </c>
      <c r="E28" t="s">
        <v>66</v>
      </c>
      <c r="F28">
        <f>D28/B28</f>
        <v>418473.68421052629</v>
      </c>
      <c r="G28" t="s">
        <v>67</v>
      </c>
      <c r="H28">
        <f>F28/12</f>
        <v>34872.807017543855</v>
      </c>
      <c r="I28" t="s">
        <v>68</v>
      </c>
    </row>
    <row r="29" spans="1:11" ht="38.25" thickBot="1" x14ac:dyDescent="0.3">
      <c r="A29" s="25" t="s">
        <v>124</v>
      </c>
      <c r="B29">
        <v>70</v>
      </c>
      <c r="C29" t="s">
        <v>65</v>
      </c>
      <c r="D29" s="26">
        <v>66068000</v>
      </c>
      <c r="E29" t="s">
        <v>66</v>
      </c>
      <c r="F29">
        <f>D29/B29</f>
        <v>943828.57142857148</v>
      </c>
      <c r="G29" t="s">
        <v>67</v>
      </c>
      <c r="H29" s="27">
        <f>F29/12</f>
        <v>78652.380952380961</v>
      </c>
      <c r="I29" t="s">
        <v>68</v>
      </c>
    </row>
    <row r="30" spans="1:11" ht="19.5" thickBot="1" x14ac:dyDescent="0.3">
      <c r="A30" s="6"/>
      <c r="B30" s="8" t="s">
        <v>20</v>
      </c>
      <c r="C30" s="8" t="s">
        <v>20</v>
      </c>
      <c r="D30" s="8" t="s">
        <v>20</v>
      </c>
      <c r="E30" s="8" t="s">
        <v>20</v>
      </c>
      <c r="F30" s="8" t="s">
        <v>20</v>
      </c>
    </row>
    <row r="31" spans="1:11" ht="32.25" customHeight="1" thickBot="1" x14ac:dyDescent="0.3">
      <c r="A31" s="1" t="s">
        <v>30</v>
      </c>
      <c r="B31" s="2"/>
      <c r="C31" s="2"/>
      <c r="D31" s="2"/>
      <c r="E31" s="2"/>
      <c r="F31" s="2"/>
      <c r="G31" t="s">
        <v>70</v>
      </c>
      <c r="H31" s="29"/>
    </row>
    <row r="32" spans="1:11" ht="32.25" customHeight="1" thickBot="1" x14ac:dyDescent="0.3">
      <c r="A32" s="1" t="s">
        <v>31</v>
      </c>
      <c r="B32" s="2"/>
      <c r="C32" s="2"/>
      <c r="D32" s="2"/>
      <c r="E32" s="2"/>
      <c r="F32" s="2"/>
    </row>
    <row r="33" spans="1:12" ht="15.75" x14ac:dyDescent="0.25">
      <c r="A33" s="28" t="s">
        <v>69</v>
      </c>
    </row>
    <row r="34" spans="1:12" ht="15.75" thickBot="1" x14ac:dyDescent="0.3"/>
    <row r="35" spans="1:12" ht="41.25" customHeight="1" thickBot="1" x14ac:dyDescent="0.3">
      <c r="A35" s="6"/>
      <c r="B35" s="14" t="s">
        <v>32</v>
      </c>
      <c r="C35" s="14" t="s">
        <v>33</v>
      </c>
      <c r="D35" s="14" t="s">
        <v>34</v>
      </c>
      <c r="G35" s="30" t="s">
        <v>71</v>
      </c>
    </row>
    <row r="36" spans="1:12" ht="53.25" customHeight="1" thickBot="1" x14ac:dyDescent="0.3">
      <c r="A36" s="6" t="s">
        <v>51</v>
      </c>
      <c r="B36" s="14" t="s">
        <v>52</v>
      </c>
      <c r="C36" s="14">
        <v>39000</v>
      </c>
      <c r="D36" s="14">
        <v>39000</v>
      </c>
      <c r="G36" s="31" t="s">
        <v>72</v>
      </c>
      <c r="H36" s="79" t="s">
        <v>74</v>
      </c>
      <c r="I36" s="79" t="s">
        <v>75</v>
      </c>
      <c r="J36" s="79" t="s">
        <v>76</v>
      </c>
      <c r="K36" s="79" t="s">
        <v>77</v>
      </c>
      <c r="L36" s="79" t="s">
        <v>78</v>
      </c>
    </row>
    <row r="37" spans="1:12" ht="41.25" customHeight="1" thickBot="1" x14ac:dyDescent="0.3">
      <c r="A37" s="4" t="s">
        <v>53</v>
      </c>
      <c r="B37" s="2" t="s">
        <v>54</v>
      </c>
      <c r="C37" s="2">
        <v>39000</v>
      </c>
      <c r="D37" s="2">
        <v>1365</v>
      </c>
      <c r="G37" s="32" t="s">
        <v>73</v>
      </c>
      <c r="H37" s="80"/>
      <c r="I37" s="80"/>
      <c r="J37" s="80"/>
      <c r="K37" s="80"/>
      <c r="L37" s="80"/>
    </row>
    <row r="38" spans="1:12" ht="41.25" customHeight="1" thickBot="1" x14ac:dyDescent="0.3">
      <c r="A38" s="4" t="s">
        <v>55</v>
      </c>
      <c r="B38" s="2" t="s">
        <v>52</v>
      </c>
      <c r="C38" s="2">
        <v>610</v>
      </c>
      <c r="D38" s="2">
        <v>610</v>
      </c>
      <c r="G38" s="4" t="s">
        <v>79</v>
      </c>
      <c r="H38" s="34">
        <v>190000</v>
      </c>
      <c r="I38" s="2">
        <v>1</v>
      </c>
      <c r="J38" s="34">
        <v>190000</v>
      </c>
      <c r="K38" s="34">
        <v>84180</v>
      </c>
      <c r="L38" s="35">
        <f>(K38/J38)^(1/5)-1</f>
        <v>-0.15025021359117929</v>
      </c>
    </row>
    <row r="39" spans="1:12" ht="41.25" customHeight="1" thickBot="1" x14ac:dyDescent="0.3">
      <c r="A39" s="4" t="s">
        <v>56</v>
      </c>
      <c r="B39" s="2" t="s">
        <v>52</v>
      </c>
      <c r="C39" s="2">
        <v>2000</v>
      </c>
      <c r="D39" s="2">
        <v>2000</v>
      </c>
      <c r="G39" s="4" t="s">
        <v>80</v>
      </c>
      <c r="H39" s="34">
        <v>1200</v>
      </c>
      <c r="I39" s="2">
        <v>2</v>
      </c>
      <c r="J39" s="34">
        <v>2400</v>
      </c>
      <c r="K39" s="2">
        <v>1065</v>
      </c>
      <c r="L39" s="35">
        <f>(K39/J39)^(1/5)-1</f>
        <v>-0.149982879247197</v>
      </c>
    </row>
    <row r="40" spans="1:12" ht="41.25" customHeight="1" thickBot="1" x14ac:dyDescent="0.3">
      <c r="A40" s="4" t="s">
        <v>57</v>
      </c>
      <c r="B40" s="2" t="s">
        <v>52</v>
      </c>
      <c r="C40" s="2">
        <v>800</v>
      </c>
      <c r="D40" s="2">
        <v>0</v>
      </c>
      <c r="G40" s="4" t="s">
        <v>81</v>
      </c>
      <c r="H40" s="34">
        <v>150000</v>
      </c>
      <c r="I40" s="2">
        <v>1</v>
      </c>
      <c r="J40" s="34">
        <v>150000</v>
      </c>
      <c r="K40" s="2">
        <f>66556</f>
        <v>66556</v>
      </c>
      <c r="L40" s="35">
        <f>(K40/J40)^(1/5)-1</f>
        <v>-0.14999948116904216</v>
      </c>
    </row>
    <row r="41" spans="1:12" ht="41.25" customHeight="1" thickBot="1" x14ac:dyDescent="0.3">
      <c r="A41" s="4" t="s">
        <v>58</v>
      </c>
      <c r="B41" s="2" t="s">
        <v>52</v>
      </c>
      <c r="C41" s="2">
        <v>90</v>
      </c>
      <c r="D41" s="2">
        <v>90</v>
      </c>
      <c r="G41" s="4" t="s">
        <v>28</v>
      </c>
      <c r="H41" s="2"/>
      <c r="I41" s="2"/>
      <c r="J41" s="34">
        <f>SUM(J38:J40)</f>
        <v>342400</v>
      </c>
      <c r="K41" s="34">
        <f>SUM(K38:K40)</f>
        <v>151801</v>
      </c>
      <c r="L41" s="2"/>
    </row>
    <row r="42" spans="1:12" ht="19.5" thickBot="1" x14ac:dyDescent="0.3">
      <c r="A42" s="1" t="s">
        <v>28</v>
      </c>
      <c r="B42" s="2"/>
      <c r="C42" s="2"/>
      <c r="D42" s="2" t="s">
        <v>29</v>
      </c>
      <c r="K42" s="26">
        <f>SUM(K38:K40)</f>
        <v>151801</v>
      </c>
    </row>
    <row r="43" spans="1:12" x14ac:dyDescent="0.25">
      <c r="D43">
        <f>SUM(D36:D41)</f>
        <v>43065</v>
      </c>
    </row>
  </sheetData>
  <mergeCells count="7">
    <mergeCell ref="L36:L37"/>
    <mergeCell ref="A12:A13"/>
    <mergeCell ref="A2:A3"/>
    <mergeCell ref="H36:H37"/>
    <mergeCell ref="I36:I37"/>
    <mergeCell ref="J36:J37"/>
    <mergeCell ref="K36:K37"/>
  </mergeCells>
  <hyperlinks>
    <hyperlink ref="A2" location="_ftn1" display="_ftn1"/>
    <hyperlink ref="A6" location="_ftnref1" display="_ftnref1"/>
    <hyperlink ref="A12" location="_ftn1" display="_ftn1"/>
    <hyperlink ref="A16" location="_ftnref1" display="_ftnref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15" zoomScale="90" zoomScaleNormal="90" workbookViewId="0">
      <selection activeCell="B50" sqref="B50:F52"/>
    </sheetView>
  </sheetViews>
  <sheetFormatPr defaultRowHeight="15" x14ac:dyDescent="0.25"/>
  <cols>
    <col min="1" max="4" width="24.28515625" customWidth="1"/>
    <col min="5" max="6" width="16.7109375" customWidth="1"/>
  </cols>
  <sheetData>
    <row r="1" spans="1:8" ht="39" customHeight="1" thickBot="1" x14ac:dyDescent="0.3">
      <c r="A1" s="84" t="s">
        <v>84</v>
      </c>
      <c r="B1" s="84"/>
      <c r="C1" s="84"/>
      <c r="D1" s="84"/>
      <c r="E1" s="84"/>
      <c r="F1" s="84"/>
      <c r="G1" s="84"/>
      <c r="H1" s="84"/>
    </row>
    <row r="2" spans="1:8" ht="39.75" customHeight="1" x14ac:dyDescent="0.25">
      <c r="A2" s="79" t="s">
        <v>85</v>
      </c>
      <c r="B2" s="33" t="s">
        <v>86</v>
      </c>
      <c r="C2" s="79" t="s">
        <v>90</v>
      </c>
      <c r="D2" s="86" t="s">
        <v>91</v>
      </c>
      <c r="E2" s="64">
        <v>22</v>
      </c>
      <c r="F2" s="64">
        <v>23</v>
      </c>
      <c r="G2" s="64">
        <v>24</v>
      </c>
      <c r="H2" s="64">
        <v>25</v>
      </c>
    </row>
    <row r="3" spans="1:8" ht="15.75" hidden="1" x14ac:dyDescent="0.25">
      <c r="A3" s="85"/>
      <c r="B3" s="37" t="s">
        <v>87</v>
      </c>
      <c r="C3" s="85"/>
      <c r="D3" s="87"/>
      <c r="E3" s="64"/>
      <c r="F3" s="64"/>
      <c r="G3" s="64"/>
      <c r="H3" s="64"/>
    </row>
    <row r="4" spans="1:8" ht="15.75" hidden="1" x14ac:dyDescent="0.25">
      <c r="A4" s="85"/>
      <c r="B4" s="37" t="s">
        <v>88</v>
      </c>
      <c r="C4" s="85"/>
      <c r="D4" s="87"/>
      <c r="E4" s="64"/>
      <c r="F4" s="64"/>
      <c r="G4" s="64"/>
      <c r="H4" s="64"/>
    </row>
    <row r="5" spans="1:8" ht="16.5" hidden="1" thickBot="1" x14ac:dyDescent="0.3">
      <c r="A5" s="80"/>
      <c r="B5" s="38" t="s">
        <v>89</v>
      </c>
      <c r="C5" s="80"/>
      <c r="D5" s="88"/>
      <c r="E5" s="64"/>
      <c r="F5" s="64"/>
      <c r="G5" s="64"/>
      <c r="H5" s="64"/>
    </row>
    <row r="6" spans="1:8" ht="75.75" thickBot="1" x14ac:dyDescent="0.3">
      <c r="A6" s="4" t="s">
        <v>92</v>
      </c>
      <c r="B6" s="2">
        <v>944</v>
      </c>
      <c r="C6" s="2">
        <v>45</v>
      </c>
      <c r="D6" s="63">
        <f>B6*C6</f>
        <v>42480</v>
      </c>
      <c r="E6" s="65">
        <f>D6*1.04</f>
        <v>44179.200000000004</v>
      </c>
      <c r="F6" s="65">
        <f t="shared" ref="F6:H6" si="0">E6*1.04</f>
        <v>45946.368000000009</v>
      </c>
      <c r="G6" s="65">
        <f t="shared" si="0"/>
        <v>47784.222720000012</v>
      </c>
      <c r="H6" s="65">
        <f t="shared" si="0"/>
        <v>49695.591628800015</v>
      </c>
    </row>
    <row r="7" spans="1:8" ht="53.25" customHeight="1" thickBot="1" x14ac:dyDescent="0.3">
      <c r="A7" s="4" t="s">
        <v>93</v>
      </c>
      <c r="B7" s="2">
        <v>2500</v>
      </c>
      <c r="C7" s="2">
        <v>1</v>
      </c>
      <c r="D7" s="63">
        <f t="shared" ref="D7:D8" si="1">B7*C7</f>
        <v>2500</v>
      </c>
      <c r="E7" s="64">
        <f>D7</f>
        <v>2500</v>
      </c>
      <c r="F7" s="64">
        <f>D7</f>
        <v>2500</v>
      </c>
      <c r="G7" s="64">
        <f>F7+2000</f>
        <v>4500</v>
      </c>
      <c r="H7" s="64">
        <f>G7*1.04</f>
        <v>4680</v>
      </c>
    </row>
    <row r="8" spans="1:8" ht="93.75" customHeight="1" thickBot="1" x14ac:dyDescent="0.3">
      <c r="A8" s="4" t="s">
        <v>94</v>
      </c>
      <c r="B8" s="2">
        <v>421</v>
      </c>
      <c r="C8" s="2">
        <v>1</v>
      </c>
      <c r="D8" s="63">
        <f t="shared" si="1"/>
        <v>421</v>
      </c>
      <c r="E8" s="64">
        <f>D8</f>
        <v>421</v>
      </c>
      <c r="F8" s="64">
        <f t="shared" ref="F8:H8" si="2">E8</f>
        <v>421</v>
      </c>
      <c r="G8" s="64">
        <f t="shared" si="2"/>
        <v>421</v>
      </c>
      <c r="H8" s="64">
        <f t="shared" si="2"/>
        <v>421</v>
      </c>
    </row>
    <row r="9" spans="1:8" ht="19.5" thickBot="1" x14ac:dyDescent="0.3">
      <c r="A9" s="4" t="s">
        <v>95</v>
      </c>
      <c r="B9" s="2"/>
      <c r="C9" s="2"/>
      <c r="D9" s="43"/>
      <c r="E9" s="64"/>
      <c r="F9" s="64"/>
      <c r="G9" s="64"/>
      <c r="H9" s="64"/>
    </row>
    <row r="10" spans="1:8" x14ac:dyDescent="0.25">
      <c r="C10" t="s">
        <v>102</v>
      </c>
      <c r="D10" s="64">
        <f>SUM(D6:D8)</f>
        <v>45401</v>
      </c>
      <c r="E10" s="64">
        <f t="shared" ref="E10:H10" si="3">SUM(E6:E8)</f>
        <v>47100.200000000004</v>
      </c>
      <c r="F10" s="64">
        <f t="shared" si="3"/>
        <v>48867.368000000009</v>
      </c>
      <c r="G10" s="64">
        <f t="shared" si="3"/>
        <v>52705.222720000012</v>
      </c>
      <c r="H10" s="64">
        <f t="shared" si="3"/>
        <v>54796.591628800015</v>
      </c>
    </row>
    <row r="11" spans="1:8" x14ac:dyDescent="0.25">
      <c r="D11" s="64"/>
      <c r="E11" s="66">
        <f>$D$10/E10-1</f>
        <v>-3.6076279930870925E-2</v>
      </c>
      <c r="F11" s="66">
        <f t="shared" ref="F11:H11" si="4">$D$10/F10-1</f>
        <v>-7.0934207056128074E-2</v>
      </c>
      <c r="G11" s="66">
        <f t="shared" si="4"/>
        <v>-0.13858631731439941</v>
      </c>
      <c r="H11" s="66">
        <f t="shared" si="4"/>
        <v>-0.1714630663973975</v>
      </c>
    </row>
    <row r="12" spans="1:8" ht="18.75" x14ac:dyDescent="0.25">
      <c r="A12" s="40" t="s">
        <v>101</v>
      </c>
      <c r="D12" s="64">
        <v>400000</v>
      </c>
      <c r="E12" s="64">
        <v>400000</v>
      </c>
      <c r="F12" s="64">
        <v>400000</v>
      </c>
      <c r="G12" s="64">
        <v>400000</v>
      </c>
      <c r="H12" s="64">
        <v>400000</v>
      </c>
    </row>
    <row r="13" spans="1:8" ht="18.75" x14ac:dyDescent="0.25">
      <c r="A13" s="40" t="s">
        <v>102</v>
      </c>
      <c r="D13">
        <f>D10+D12</f>
        <v>445401</v>
      </c>
    </row>
    <row r="14" spans="1:8" ht="19.5" thickBot="1" x14ac:dyDescent="0.3">
      <c r="A14" s="30" t="s">
        <v>96</v>
      </c>
    </row>
    <row r="15" spans="1:8" ht="15.75" x14ac:dyDescent="0.25">
      <c r="A15" s="79" t="s">
        <v>85</v>
      </c>
      <c r="B15" s="33" t="s">
        <v>86</v>
      </c>
      <c r="C15" s="79" t="s">
        <v>90</v>
      </c>
      <c r="D15" s="79" t="s">
        <v>91</v>
      </c>
    </row>
    <row r="16" spans="1:8" ht="15.75" x14ac:dyDescent="0.25">
      <c r="A16" s="85"/>
      <c r="B16" s="37" t="s">
        <v>87</v>
      </c>
      <c r="C16" s="85"/>
      <c r="D16" s="85"/>
    </row>
    <row r="17" spans="1:8" ht="15.75" x14ac:dyDescent="0.25">
      <c r="A17" s="85"/>
      <c r="B17" s="37" t="s">
        <v>88</v>
      </c>
      <c r="C17" s="85"/>
      <c r="D17" s="85"/>
    </row>
    <row r="18" spans="1:8" ht="16.5" thickBot="1" x14ac:dyDescent="0.3">
      <c r="A18" s="80"/>
      <c r="B18" s="38" t="s">
        <v>89</v>
      </c>
      <c r="C18" s="80"/>
      <c r="D18" s="88"/>
      <c r="E18" s="64">
        <v>22</v>
      </c>
      <c r="F18" s="64">
        <v>23</v>
      </c>
      <c r="G18" s="64">
        <v>24</v>
      </c>
      <c r="H18" s="64">
        <v>25</v>
      </c>
    </row>
    <row r="19" spans="1:8" ht="19.5" thickBot="1" x14ac:dyDescent="0.3">
      <c r="A19" s="4" t="s">
        <v>97</v>
      </c>
      <c r="B19" s="2">
        <v>944</v>
      </c>
      <c r="C19" s="2">
        <v>30</v>
      </c>
      <c r="D19" s="67">
        <f>B19*C19</f>
        <v>28320</v>
      </c>
      <c r="E19" s="64">
        <f>D19*1.04</f>
        <v>29452.799999999999</v>
      </c>
      <c r="F19" s="64">
        <f t="shared" ref="F19:H19" si="5">E19*1.04</f>
        <v>30630.912</v>
      </c>
      <c r="G19" s="64">
        <f t="shared" si="5"/>
        <v>31856.14848</v>
      </c>
      <c r="H19" s="64">
        <f t="shared" si="5"/>
        <v>33130.394419199998</v>
      </c>
    </row>
    <row r="20" spans="1:8" ht="38.25" thickBot="1" x14ac:dyDescent="0.3">
      <c r="A20" s="4" t="s">
        <v>98</v>
      </c>
      <c r="B20" s="2">
        <v>4500</v>
      </c>
      <c r="C20" s="2">
        <v>1</v>
      </c>
      <c r="D20" s="67">
        <f>B20*C20</f>
        <v>4500</v>
      </c>
      <c r="E20" s="64">
        <f>D20</f>
        <v>4500</v>
      </c>
      <c r="F20" s="64">
        <f>D20</f>
        <v>4500</v>
      </c>
      <c r="G20" s="64">
        <f>F20*1.04</f>
        <v>4680</v>
      </c>
      <c r="H20" s="64">
        <f>G20*1.04</f>
        <v>4867.2</v>
      </c>
    </row>
    <row r="21" spans="1:8" ht="19.5" thickBot="1" x14ac:dyDescent="0.3">
      <c r="A21" s="4" t="s">
        <v>95</v>
      </c>
      <c r="B21" s="2"/>
      <c r="C21" s="2"/>
      <c r="D21" s="43"/>
      <c r="E21" s="64"/>
      <c r="F21" s="64"/>
      <c r="G21" s="64"/>
      <c r="H21" s="64"/>
    </row>
    <row r="22" spans="1:8" x14ac:dyDescent="0.25">
      <c r="D22" s="68">
        <f>SUM(D19:D20)</f>
        <v>32820</v>
      </c>
      <c r="E22" s="68">
        <f t="shared" ref="E22:H22" si="6">SUM(E19:E20)</f>
        <v>33952.800000000003</v>
      </c>
      <c r="F22" s="68">
        <f t="shared" si="6"/>
        <v>35130.911999999997</v>
      </c>
      <c r="G22" s="68">
        <f t="shared" si="6"/>
        <v>36536.148480000003</v>
      </c>
      <c r="H22" s="68">
        <f t="shared" si="6"/>
        <v>37997.594419199995</v>
      </c>
    </row>
    <row r="23" spans="1:8" x14ac:dyDescent="0.25">
      <c r="D23" s="64"/>
      <c r="E23" s="66">
        <f>$D$22/E22-1</f>
        <v>-3.3363964091326914E-2</v>
      </c>
      <c r="F23" s="66">
        <f t="shared" ref="F23:H23" si="7">$D$22/F22-1</f>
        <v>-6.578001732491312E-2</v>
      </c>
      <c r="G23" s="66">
        <f t="shared" si="7"/>
        <v>-0.10171155512010888</v>
      </c>
      <c r="H23" s="66">
        <f t="shared" si="7"/>
        <v>-0.1362611106924122</v>
      </c>
    </row>
    <row r="24" spans="1:8" ht="18.75" x14ac:dyDescent="0.25">
      <c r="A24" s="69" t="s">
        <v>101</v>
      </c>
      <c r="B24" s="64"/>
      <c r="C24" s="64"/>
      <c r="D24" s="64">
        <v>342400</v>
      </c>
      <c r="E24" s="29"/>
      <c r="F24" s="29"/>
      <c r="G24" s="29"/>
      <c r="H24" s="29"/>
    </row>
    <row r="25" spans="1:8" ht="18.75" x14ac:dyDescent="0.25">
      <c r="A25" s="69" t="s">
        <v>102</v>
      </c>
      <c r="B25" s="64"/>
      <c r="C25" s="64"/>
      <c r="D25" s="68">
        <f>D22+D24</f>
        <v>375220</v>
      </c>
    </row>
    <row r="26" spans="1:8" ht="18.75" x14ac:dyDescent="0.25">
      <c r="A26" s="40"/>
      <c r="B26" s="70"/>
      <c r="C26" s="70"/>
      <c r="D26" s="71"/>
    </row>
    <row r="27" spans="1:8" ht="19.5" thickBot="1" x14ac:dyDescent="0.3">
      <c r="A27" s="83" t="s">
        <v>99</v>
      </c>
      <c r="B27" s="83"/>
      <c r="C27" s="83"/>
      <c r="D27" s="83"/>
      <c r="E27" s="83"/>
      <c r="F27" s="83"/>
    </row>
    <row r="28" spans="1:8" ht="19.5" thickBot="1" x14ac:dyDescent="0.3">
      <c r="A28" s="6"/>
      <c r="B28" s="8">
        <v>2021</v>
      </c>
      <c r="C28" s="8">
        <v>2022</v>
      </c>
      <c r="D28" s="8">
        <v>2023</v>
      </c>
      <c r="E28" s="8">
        <v>2024</v>
      </c>
      <c r="F28" s="8">
        <v>2025</v>
      </c>
    </row>
    <row r="29" spans="1:8" ht="94.5" thickBot="1" x14ac:dyDescent="0.3">
      <c r="A29" s="4" t="s">
        <v>35</v>
      </c>
      <c r="B29" s="2">
        <v>42.747900000000001</v>
      </c>
      <c r="C29" s="2">
        <v>42.747900000000001</v>
      </c>
      <c r="D29" s="2">
        <v>42.747900000000001</v>
      </c>
      <c r="E29" s="2">
        <v>42.747900000000001</v>
      </c>
      <c r="F29" s="2">
        <v>42.747900000000001</v>
      </c>
    </row>
    <row r="30" spans="1:8" ht="19.5" thickBot="1" x14ac:dyDescent="0.3">
      <c r="A30" s="4" t="s">
        <v>36</v>
      </c>
      <c r="B30" s="2">
        <v>50000</v>
      </c>
      <c r="C30" s="78">
        <f>B30*1.5</f>
        <v>75000</v>
      </c>
      <c r="D30" s="2">
        <f>C30*1.33</f>
        <v>99750</v>
      </c>
      <c r="E30" s="2">
        <f>D30*1.1</f>
        <v>109725.00000000001</v>
      </c>
      <c r="F30" s="2">
        <f>E30</f>
        <v>109725.00000000001</v>
      </c>
    </row>
    <row r="31" spans="1:8" ht="38.25" thickBot="1" x14ac:dyDescent="0.3">
      <c r="A31" s="4" t="s">
        <v>37</v>
      </c>
      <c r="B31" s="53">
        <f>B29*B30</f>
        <v>2137395</v>
      </c>
      <c r="C31" s="53">
        <f t="shared" ref="C31:F31" si="8">C29*C30</f>
        <v>3206092.5</v>
      </c>
      <c r="D31" s="53">
        <f t="shared" si="8"/>
        <v>4264103.0250000004</v>
      </c>
      <c r="E31" s="53">
        <f t="shared" si="8"/>
        <v>4690513.3275000006</v>
      </c>
      <c r="F31" s="53">
        <f t="shared" si="8"/>
        <v>4690513.3275000006</v>
      </c>
    </row>
    <row r="32" spans="1:8" ht="57" thickBot="1" x14ac:dyDescent="0.3">
      <c r="A32" s="4" t="s">
        <v>38</v>
      </c>
      <c r="B32" s="2"/>
      <c r="C32" s="35">
        <f>C31/B31-1</f>
        <v>0.5</v>
      </c>
      <c r="D32" s="35">
        <f t="shared" ref="D32:F32" si="9">D31/C31-1</f>
        <v>0.33000000000000007</v>
      </c>
      <c r="E32" s="35">
        <f t="shared" si="9"/>
        <v>0.10000000000000009</v>
      </c>
      <c r="F32" s="35">
        <f t="shared" si="9"/>
        <v>0</v>
      </c>
    </row>
    <row r="33" spans="1:7" ht="18.75" x14ac:dyDescent="0.25">
      <c r="A33" s="42" t="s">
        <v>103</v>
      </c>
      <c r="B33" s="44">
        <f>B31+D13</f>
        <v>2582796</v>
      </c>
      <c r="C33" s="45">
        <f>C31+E10</f>
        <v>3253192.7</v>
      </c>
      <c r="D33" s="45">
        <f t="shared" ref="D33:F33" si="10">D31+F10</f>
        <v>4312970.3930000002</v>
      </c>
      <c r="E33" s="45">
        <f t="shared" si="10"/>
        <v>4743218.5502200006</v>
      </c>
      <c r="F33" s="45">
        <f t="shared" si="10"/>
        <v>4745309.9191288007</v>
      </c>
    </row>
    <row r="34" spans="1:7" ht="18.75" x14ac:dyDescent="0.25">
      <c r="A34" s="42" t="s">
        <v>105</v>
      </c>
      <c r="B34" s="44">
        <f>Лист1!B18-Лист2!B33</f>
        <v>-282796</v>
      </c>
      <c r="C34" s="44">
        <f>Лист1!C18-Лист2!C33</f>
        <v>196807.29999999981</v>
      </c>
      <c r="D34" s="44">
        <f>Лист1!D18-Лист2!D33</f>
        <v>275529.60699999984</v>
      </c>
      <c r="E34" s="44">
        <f>Лист1!E18-Лист2!E33</f>
        <v>304131.44977999944</v>
      </c>
      <c r="F34" s="44">
        <f>Лист1!G18-Лист2!F33</f>
        <v>568040.08087119926</v>
      </c>
    </row>
    <row r="35" spans="1:7" ht="18.75" x14ac:dyDescent="0.25">
      <c r="A35" s="42" t="s">
        <v>106</v>
      </c>
      <c r="B35" s="43"/>
      <c r="C35" s="47">
        <f>(Лист1!C18-Лист2!C33)/Лист2!C33</f>
        <v>6.0496662248135442E-2</v>
      </c>
      <c r="D35" s="47">
        <f>(Лист1!D18-Лист2!D33)/Лист2!D33</f>
        <v>6.3883955115293045E-2</v>
      </c>
      <c r="E35" s="47">
        <f>(Лист1!E18-Лист2!E33)/Лист2!E33</f>
        <v>6.4119214950762324E-2</v>
      </c>
      <c r="F35" s="47">
        <f>(Лист1!G18-Лист2!F33)/Лист2!F33</f>
        <v>0.11970558099511584</v>
      </c>
    </row>
    <row r="36" spans="1:7" ht="18.75" x14ac:dyDescent="0.25">
      <c r="A36" s="42" t="s">
        <v>107</v>
      </c>
      <c r="B36" s="43"/>
      <c r="C36" s="47">
        <f>(Лист1!C18-Лист2!C33)/Лист1!C18</f>
        <v>5.7045594202898495E-2</v>
      </c>
      <c r="D36" s="47">
        <f>(Лист1!D18-Лист2!D33)/Лист1!D18</f>
        <v>6.0047860302931209E-2</v>
      </c>
      <c r="E36" s="47">
        <f>(Лист1!E18-Лист2!E33)/Лист1!E18</f>
        <v>6.0255668772722211E-2</v>
      </c>
      <c r="F36" s="47">
        <f>(Лист1!G18-Лист2!F33)/Лист1!F18</f>
        <v>0.1125422411505442</v>
      </c>
    </row>
    <row r="37" spans="1:7" ht="18.75" x14ac:dyDescent="0.25">
      <c r="A37" s="42"/>
      <c r="B37" s="43"/>
      <c r="C37" s="43"/>
      <c r="D37" s="43"/>
      <c r="E37" s="43"/>
      <c r="F37" s="43"/>
    </row>
    <row r="38" spans="1:7" ht="18.75" x14ac:dyDescent="0.25">
      <c r="A38" s="41" t="s">
        <v>104</v>
      </c>
      <c r="B38" s="26">
        <f>B31+D25</f>
        <v>2512615</v>
      </c>
      <c r="C38" s="26">
        <f>C31+E22</f>
        <v>3240045.3</v>
      </c>
      <c r="D38" s="26">
        <f t="shared" ref="D38:F38" si="11">D31+F22</f>
        <v>4299233.9369999999</v>
      </c>
      <c r="E38" s="26">
        <f t="shared" si="11"/>
        <v>4727049.4759800006</v>
      </c>
      <c r="F38" s="26">
        <f t="shared" si="11"/>
        <v>4728510.9219192006</v>
      </c>
    </row>
    <row r="39" spans="1:7" ht="18.75" x14ac:dyDescent="0.25">
      <c r="A39" s="42" t="s">
        <v>105</v>
      </c>
      <c r="B39" s="26">
        <f>Лист1!B18-Лист2!B38</f>
        <v>-212615</v>
      </c>
      <c r="C39" s="26">
        <f>Лист1!C18-Лист2!C38</f>
        <v>209954.70000000019</v>
      </c>
      <c r="D39" s="26">
        <f>Лист1!D18-Лист2!D38</f>
        <v>289266.06300000008</v>
      </c>
      <c r="E39" s="26">
        <f>Лист1!E18-Лист2!E38</f>
        <v>320300.52401999943</v>
      </c>
      <c r="F39" s="26">
        <f>Лист1!H18-Лист2!F38</f>
        <v>470640.07808079943</v>
      </c>
    </row>
    <row r="40" spans="1:7" ht="18.75" x14ac:dyDescent="0.25">
      <c r="A40" s="42" t="s">
        <v>106</v>
      </c>
      <c r="B40" s="26"/>
      <c r="C40" s="46">
        <f>(Лист1!C18-Лист2!C38)/Лист2!C38</f>
        <v>6.4799927334349375E-2</v>
      </c>
      <c r="D40" s="46">
        <f>(Лист1!D18-Лист2!D38)/Лист2!D38</f>
        <v>6.7283164219216596E-2</v>
      </c>
      <c r="E40" s="46">
        <f>(Лист1!E18-Лист2!E38)/Лист2!E38</f>
        <v>6.7759080087393314E-2</v>
      </c>
      <c r="F40" s="46">
        <f>(Лист1!H18-Лист2!F38)/Лист2!F38</f>
        <v>9.9532407950910853E-2</v>
      </c>
    </row>
    <row r="41" spans="1:7" ht="18.75" x14ac:dyDescent="0.25">
      <c r="A41" s="42" t="s">
        <v>107</v>
      </c>
      <c r="B41" s="26"/>
      <c r="C41" s="46">
        <f>(Лист1!C18-Лист2!C38)/Лист1!C18</f>
        <v>6.085643478260875E-2</v>
      </c>
      <c r="D41" s="46">
        <f>(Лист1!D18-Лист2!D38)/Лист1!D18</f>
        <v>6.3041530565544318E-2</v>
      </c>
      <c r="E41" s="46">
        <f>(Лист1!E18-Лист2!E38)/Лист1!E18</f>
        <v>6.3459146684893941E-2</v>
      </c>
      <c r="F41" s="46">
        <f>(Лист1!H18-Лист2!F38)/Лист1!F18</f>
        <v>9.3244985602504174E-2</v>
      </c>
    </row>
    <row r="42" spans="1:7" ht="18.75" x14ac:dyDescent="0.25">
      <c r="A42" s="40"/>
      <c r="B42" s="26"/>
      <c r="C42" s="26"/>
      <c r="D42" s="26"/>
      <c r="E42" s="26"/>
      <c r="F42" s="26"/>
    </row>
    <row r="43" spans="1:7" ht="19.5" thickBot="1" x14ac:dyDescent="0.3">
      <c r="A43" s="36" t="s">
        <v>100</v>
      </c>
    </row>
    <row r="44" spans="1:7" ht="19.5" thickBot="1" x14ac:dyDescent="0.3">
      <c r="A44" s="6"/>
      <c r="B44" s="8">
        <v>2021</v>
      </c>
      <c r="C44" s="8">
        <v>2022</v>
      </c>
      <c r="D44" s="8">
        <v>2023</v>
      </c>
      <c r="E44" s="8">
        <v>2024</v>
      </c>
      <c r="F44" s="8">
        <v>2025</v>
      </c>
    </row>
    <row r="45" spans="1:7" ht="94.5" thickBot="1" x14ac:dyDescent="0.3">
      <c r="A45" s="4" t="s">
        <v>35</v>
      </c>
      <c r="B45" s="2">
        <v>42.454999999999998</v>
      </c>
      <c r="C45" s="2">
        <v>42.454999999999998</v>
      </c>
      <c r="D45" s="2">
        <v>42.454999999999998</v>
      </c>
      <c r="E45" s="2">
        <v>42.454999999999998</v>
      </c>
      <c r="F45" s="2">
        <v>42.454999999999998</v>
      </c>
    </row>
    <row r="46" spans="1:7" ht="19.5" thickBot="1" x14ac:dyDescent="0.3">
      <c r="A46" s="4" t="s">
        <v>36</v>
      </c>
      <c r="B46" s="2">
        <v>50000</v>
      </c>
      <c r="C46" s="78">
        <f>B46*1.5</f>
        <v>75000</v>
      </c>
      <c r="D46" s="2">
        <f>C46*1.33</f>
        <v>99750</v>
      </c>
      <c r="E46" s="2">
        <f>D46*1.1</f>
        <v>109725.00000000001</v>
      </c>
      <c r="F46" s="2">
        <f>E46</f>
        <v>109725.00000000001</v>
      </c>
    </row>
    <row r="47" spans="1:7" ht="38.25" thickBot="1" x14ac:dyDescent="0.3">
      <c r="A47" s="4" t="s">
        <v>37</v>
      </c>
      <c r="B47" s="53">
        <f>B45*B46</f>
        <v>2122750</v>
      </c>
      <c r="C47" s="53">
        <f t="shared" ref="C47:F47" si="12">C45*C46</f>
        <v>3184125</v>
      </c>
      <c r="D47" s="53">
        <f t="shared" si="12"/>
        <v>4234886.25</v>
      </c>
      <c r="E47" s="53">
        <f t="shared" si="12"/>
        <v>4658374.875</v>
      </c>
      <c r="F47" s="53">
        <f t="shared" si="12"/>
        <v>4658374.875</v>
      </c>
      <c r="G47" t="s">
        <v>108</v>
      </c>
    </row>
    <row r="48" spans="1:7" ht="57" thickBot="1" x14ac:dyDescent="0.3">
      <c r="A48" s="4" t="s">
        <v>38</v>
      </c>
      <c r="B48" s="2"/>
      <c r="C48" s="35">
        <f>C47/B47-1</f>
        <v>0.5</v>
      </c>
      <c r="D48" s="35">
        <f t="shared" ref="D48:F48" si="13">D47/C47-1</f>
        <v>0.33000000000000007</v>
      </c>
      <c r="E48" s="35">
        <f t="shared" si="13"/>
        <v>0.10000000000000009</v>
      </c>
      <c r="F48" s="35">
        <f t="shared" si="13"/>
        <v>0</v>
      </c>
    </row>
    <row r="50" spans="1:6" ht="18.75" x14ac:dyDescent="0.25">
      <c r="A50" s="40" t="s">
        <v>105</v>
      </c>
      <c r="B50">
        <f>Лист1!B18-Лист2!B47</f>
        <v>177250</v>
      </c>
      <c r="C50">
        <f>Лист1!C18-Лист2!C47</f>
        <v>265875</v>
      </c>
      <c r="D50">
        <f>Лист1!D18-Лист2!D47</f>
        <v>353613.75</v>
      </c>
      <c r="E50">
        <f>Лист1!E18-Лист2!E47</f>
        <v>388975.125</v>
      </c>
      <c r="F50">
        <f>Лист1!F18-Лист2!F47</f>
        <v>388975.125</v>
      </c>
    </row>
    <row r="51" spans="1:6" ht="18.75" x14ac:dyDescent="0.25">
      <c r="A51" s="42" t="s">
        <v>106</v>
      </c>
      <c r="B51" s="46">
        <f>(Лист1!B18-Лист2!B47)/Лист2!B47</f>
        <v>8.3500176657637495E-2</v>
      </c>
      <c r="C51" s="46">
        <f>(Лист1!C18-Лист2!C47)/Лист2!C47</f>
        <v>8.3500176657637495E-2</v>
      </c>
      <c r="D51" s="46">
        <f>(Лист1!D18-Лист2!D47)/Лист2!D47</f>
        <v>8.3500176657637495E-2</v>
      </c>
      <c r="E51" s="46">
        <f>(Лист1!E18-Лист2!E47)/Лист2!E47</f>
        <v>8.3500176657637495E-2</v>
      </c>
      <c r="F51" s="46">
        <f>(Лист1!F18-Лист2!F47)/Лист2!F47</f>
        <v>8.3500176657637495E-2</v>
      </c>
    </row>
    <row r="52" spans="1:6" ht="18.75" x14ac:dyDescent="0.25">
      <c r="A52" s="42" t="s">
        <v>107</v>
      </c>
      <c r="B52" s="46">
        <f>(Лист1!B18-Лист2!B47)/Лист1!B18</f>
        <v>7.7065217391304341E-2</v>
      </c>
      <c r="C52" s="46">
        <f>(Лист1!C18-Лист2!C47)/Лист1!C18</f>
        <v>7.7065217391304341E-2</v>
      </c>
      <c r="D52" s="46">
        <f>(Лист1!D18-Лист2!D47)/Лист1!D18</f>
        <v>7.7065217391304341E-2</v>
      </c>
      <c r="E52" s="46">
        <f>(Лист1!E18-Лист2!E47)/Лист1!E18</f>
        <v>7.7065217391304341E-2</v>
      </c>
      <c r="F52" s="46">
        <f>(Лист1!F18-Лист2!F47)/Лист1!F18</f>
        <v>7.7065217391304341E-2</v>
      </c>
    </row>
  </sheetData>
  <mergeCells count="8">
    <mergeCell ref="A27:F27"/>
    <mergeCell ref="A1:H1"/>
    <mergeCell ref="A2:A5"/>
    <mergeCell ref="C2:C5"/>
    <mergeCell ref="D2:D5"/>
    <mergeCell ref="A15:A18"/>
    <mergeCell ref="C15:C18"/>
    <mergeCell ref="D15:D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="98" zoomScaleNormal="98" workbookViewId="0">
      <selection activeCell="I9" sqref="I9"/>
    </sheetView>
  </sheetViews>
  <sheetFormatPr defaultRowHeight="15" x14ac:dyDescent="0.25"/>
  <cols>
    <col min="1" max="1" width="31" customWidth="1"/>
    <col min="2" max="2" width="16.140625" customWidth="1"/>
    <col min="3" max="3" width="15.7109375" bestFit="1" customWidth="1"/>
    <col min="4" max="4" width="14" bestFit="1" customWidth="1"/>
    <col min="5" max="5" width="15.7109375" bestFit="1" customWidth="1"/>
    <col min="6" max="12" width="14" bestFit="1" customWidth="1"/>
  </cols>
  <sheetData>
    <row r="1" spans="1:12" ht="15.75" thickBot="1" x14ac:dyDescent="0.3">
      <c r="A1" t="s">
        <v>115</v>
      </c>
    </row>
    <row r="2" spans="1:12" ht="19.5" thickBot="1" x14ac:dyDescent="0.3">
      <c r="A2" s="6"/>
      <c r="B2" s="48" t="s">
        <v>109</v>
      </c>
      <c r="C2" s="49" t="s">
        <v>110</v>
      </c>
      <c r="D2" s="49" t="s">
        <v>111</v>
      </c>
      <c r="E2" s="49" t="s">
        <v>112</v>
      </c>
      <c r="F2" s="49" t="s">
        <v>113</v>
      </c>
      <c r="G2" s="49" t="s">
        <v>114</v>
      </c>
      <c r="H2" s="8" t="s">
        <v>12</v>
      </c>
    </row>
    <row r="3" spans="1:12" ht="37.5" customHeight="1" thickBot="1" x14ac:dyDescent="0.3">
      <c r="A3" s="1" t="s">
        <v>39</v>
      </c>
      <c r="B3" s="51">
        <v>1</v>
      </c>
      <c r="C3" s="51">
        <f>1+$I$3</f>
        <v>1.0609999999999999</v>
      </c>
      <c r="D3" s="51">
        <f t="shared" ref="D3:G3" si="0">1+$I$3</f>
        <v>1.0609999999999999</v>
      </c>
      <c r="E3" s="51">
        <f t="shared" si="0"/>
        <v>1.0609999999999999</v>
      </c>
      <c r="F3" s="51">
        <f t="shared" si="0"/>
        <v>1.0609999999999999</v>
      </c>
      <c r="G3" s="51">
        <f t="shared" si="0"/>
        <v>1.0609999999999999</v>
      </c>
      <c r="H3" s="9"/>
      <c r="I3" s="50">
        <v>6.0999999999999999E-2</v>
      </c>
    </row>
    <row r="4" spans="1:12" ht="37.5" hidden="1" customHeight="1" thickBot="1" x14ac:dyDescent="0.3">
      <c r="A4" s="4" t="s">
        <v>121</v>
      </c>
      <c r="B4" s="51"/>
      <c r="C4" s="51">
        <f>B3*C3</f>
        <v>1.0609999999999999</v>
      </c>
      <c r="D4" s="51">
        <f t="shared" ref="D4:G4" si="1">C3*D3</f>
        <v>1.125721</v>
      </c>
      <c r="E4" s="51">
        <f t="shared" si="1"/>
        <v>1.125721</v>
      </c>
      <c r="F4" s="51">
        <f t="shared" si="1"/>
        <v>1.125721</v>
      </c>
      <c r="G4" s="51">
        <f t="shared" si="1"/>
        <v>1.125721</v>
      </c>
      <c r="H4" s="9"/>
      <c r="I4" s="50"/>
    </row>
    <row r="5" spans="1:12" ht="37.5" customHeight="1" thickBot="1" x14ac:dyDescent="0.3">
      <c r="A5" s="1" t="s">
        <v>40</v>
      </c>
      <c r="B5" s="2">
        <v>0</v>
      </c>
      <c r="C5" s="52">
        <f>Лист1!B18/'Проект 1'!C4</f>
        <v>2167766.2582469368</v>
      </c>
      <c r="D5" s="52">
        <f>Лист1!C18/'Проект 1'!D4</f>
        <v>3064702.5328656035</v>
      </c>
      <c r="E5" s="52">
        <f>Лист1!D18/'Проект 1'!E4</f>
        <v>4076054.3687112527</v>
      </c>
      <c r="F5" s="52">
        <f>Лист1!E18/'Проект 1'!F4</f>
        <v>4483659.8055823781</v>
      </c>
      <c r="G5" s="52">
        <f>(Лист1!G18)/'Проект 1'!G4</f>
        <v>4719952.8124641897</v>
      </c>
      <c r="H5" s="53">
        <f>SUM(C5:G5)</f>
        <v>18512135.777870361</v>
      </c>
    </row>
    <row r="6" spans="1:12" ht="37.5" customHeight="1" thickBot="1" x14ac:dyDescent="0.3">
      <c r="A6" s="1" t="s">
        <v>41</v>
      </c>
      <c r="B6" s="2">
        <f>Лист2!D12</f>
        <v>400000</v>
      </c>
      <c r="C6" s="52">
        <f>(Лист2!B33-'Проект 1'!B6)/C4</f>
        <v>2057300.6597549482</v>
      </c>
      <c r="D6" s="52">
        <f>Лист2!C33/'Проект 1'!D4</f>
        <v>2889874.7558231573</v>
      </c>
      <c r="E6" s="52">
        <f>Лист2!D33/'Проект 1'!E4</f>
        <v>3831296.0253917268</v>
      </c>
      <c r="F6" s="52">
        <f>Лист2!E33/'Проект 1'!F4</f>
        <v>4213493.8854476381</v>
      </c>
      <c r="G6" s="52">
        <f>Лист2!F33/'Проект 1'!G4</f>
        <v>4215351.6893873354</v>
      </c>
      <c r="H6" s="53">
        <f>SUM(B6:G6)</f>
        <v>17607317.015804805</v>
      </c>
    </row>
    <row r="7" spans="1:12" ht="37.5" customHeight="1" thickBot="1" x14ac:dyDescent="0.3">
      <c r="A7" s="1" t="s">
        <v>42</v>
      </c>
      <c r="B7" s="2">
        <f>-B6</f>
        <v>-400000</v>
      </c>
      <c r="C7" s="53">
        <f>C5-C6</f>
        <v>110465.59849198861</v>
      </c>
      <c r="D7" s="53">
        <f t="shared" ref="D7:H7" si="2">D5-D6</f>
        <v>174827.77704244619</v>
      </c>
      <c r="E7" s="53">
        <f t="shared" si="2"/>
        <v>244758.34331952594</v>
      </c>
      <c r="F7" s="53">
        <f t="shared" si="2"/>
        <v>270165.92013473995</v>
      </c>
      <c r="G7" s="53">
        <f t="shared" si="2"/>
        <v>504601.12307685427</v>
      </c>
      <c r="H7" s="54">
        <f t="shared" si="2"/>
        <v>904818.7620655559</v>
      </c>
    </row>
    <row r="8" spans="1:12" ht="15.75" thickBot="1" x14ac:dyDescent="0.3"/>
    <row r="9" spans="1:12" ht="15.75" thickBot="1" x14ac:dyDescent="0.3">
      <c r="G9" s="55" t="s">
        <v>116</v>
      </c>
      <c r="H9" s="61">
        <f>IRR(B7:G7,18)</f>
        <v>0.42451880069527803</v>
      </c>
      <c r="I9" s="77"/>
    </row>
    <row r="11" spans="1:12" ht="15.75" thickBot="1" x14ac:dyDescent="0.3"/>
    <row r="12" spans="1:12" ht="30" customHeight="1" thickBot="1" x14ac:dyDescent="0.3">
      <c r="A12" s="74" t="s">
        <v>43</v>
      </c>
      <c r="B12" s="75">
        <v>0.01</v>
      </c>
      <c r="C12" s="75">
        <v>0.03</v>
      </c>
      <c r="D12" s="75">
        <v>0.05</v>
      </c>
      <c r="E12" s="75">
        <v>7.0000000000000007E-2</v>
      </c>
      <c r="F12" s="75">
        <v>0.09</v>
      </c>
      <c r="G12" s="75">
        <v>0.11</v>
      </c>
      <c r="H12" s="75">
        <v>0.13</v>
      </c>
      <c r="I12" s="75">
        <v>0.15</v>
      </c>
      <c r="J12" s="75">
        <v>0.17</v>
      </c>
      <c r="K12" s="75">
        <v>0.19</v>
      </c>
      <c r="L12" s="75">
        <v>0.21</v>
      </c>
    </row>
    <row r="13" spans="1:12" ht="24" customHeight="1" thickBot="1" x14ac:dyDescent="0.3">
      <c r="A13" s="76" t="s">
        <v>44</v>
      </c>
      <c r="B13" s="54">
        <f>$H$7/(1+B12)</f>
        <v>895860.16046094638</v>
      </c>
      <c r="C13" s="54">
        <f t="shared" ref="C13:L13" si="3">$H$7/(1+C12)</f>
        <v>878464.81753937469</v>
      </c>
      <c r="D13" s="54">
        <f t="shared" si="3"/>
        <v>861732.15434814838</v>
      </c>
      <c r="E13" s="54">
        <f t="shared" si="3"/>
        <v>845625.01127622044</v>
      </c>
      <c r="F13" s="54">
        <f t="shared" si="3"/>
        <v>830108.9560234457</v>
      </c>
      <c r="G13" s="54">
        <f t="shared" si="3"/>
        <v>815152.03789689718</v>
      </c>
      <c r="H13" s="54">
        <f t="shared" si="3"/>
        <v>800724.56819960708</v>
      </c>
      <c r="I13" s="54">
        <f t="shared" si="3"/>
        <v>786798.92353526608</v>
      </c>
      <c r="J13" s="54">
        <f t="shared" si="3"/>
        <v>773349.36928679992</v>
      </c>
      <c r="K13" s="54">
        <f t="shared" si="3"/>
        <v>760351.90089542512</v>
      </c>
      <c r="L13" s="54">
        <f t="shared" si="3"/>
        <v>747784.10088062473</v>
      </c>
    </row>
    <row r="16" spans="1:12" ht="18.75" x14ac:dyDescent="0.3">
      <c r="A16" s="56" t="s">
        <v>117</v>
      </c>
      <c r="D16" s="59"/>
    </row>
    <row r="17" spans="1:4" ht="16.5" x14ac:dyDescent="0.25">
      <c r="A17" s="57" t="s">
        <v>118</v>
      </c>
    </row>
    <row r="18" spans="1:4" ht="18" x14ac:dyDescent="0.25">
      <c r="A18" s="58" t="s">
        <v>119</v>
      </c>
    </row>
    <row r="19" spans="1:4" ht="16.5" x14ac:dyDescent="0.25">
      <c r="A19" s="57" t="s">
        <v>120</v>
      </c>
      <c r="D19" s="59">
        <f>1+H7/B6</f>
        <v>3.2620469051638898</v>
      </c>
    </row>
    <row r="21" spans="1:4" ht="15.75" thickBot="1" x14ac:dyDescent="0.3"/>
    <row r="22" spans="1:4" ht="19.5" thickBot="1" x14ac:dyDescent="0.3">
      <c r="A22" s="16" t="s">
        <v>45</v>
      </c>
      <c r="B22" s="17" t="s">
        <v>46</v>
      </c>
      <c r="C22" s="17" t="s">
        <v>47</v>
      </c>
      <c r="D22" s="17" t="s">
        <v>48</v>
      </c>
    </row>
    <row r="23" spans="1:4" ht="19.5" thickBot="1" x14ac:dyDescent="0.3">
      <c r="A23" s="18">
        <v>1</v>
      </c>
      <c r="B23" s="60">
        <f>Лист2!B34+B6</f>
        <v>117204</v>
      </c>
      <c r="C23" s="60">
        <f>C7</f>
        <v>110465.59849198861</v>
      </c>
      <c r="D23" s="60">
        <f>A23*C23</f>
        <v>110465.59849198861</v>
      </c>
    </row>
    <row r="24" spans="1:4" ht="19.5" thickBot="1" x14ac:dyDescent="0.3">
      <c r="A24" s="18">
        <v>2</v>
      </c>
      <c r="B24" s="60">
        <f>Лист2!C34</f>
        <v>196807.29999999981</v>
      </c>
      <c r="C24" s="60">
        <f>D7</f>
        <v>174827.77704244619</v>
      </c>
      <c r="D24" s="60">
        <f t="shared" ref="D24:D27" si="4">A24*C24</f>
        <v>349655.55408489238</v>
      </c>
    </row>
    <row r="25" spans="1:4" ht="19.5" thickBot="1" x14ac:dyDescent="0.3">
      <c r="A25" s="18">
        <v>3</v>
      </c>
      <c r="B25" s="60">
        <f>Лист2!D34</f>
        <v>275529.60699999984</v>
      </c>
      <c r="C25" s="60">
        <f>E7</f>
        <v>244758.34331952594</v>
      </c>
      <c r="D25" s="60">
        <f t="shared" si="4"/>
        <v>734275.02995857783</v>
      </c>
    </row>
    <row r="26" spans="1:4" ht="19.5" thickBot="1" x14ac:dyDescent="0.3">
      <c r="A26" s="18">
        <v>4</v>
      </c>
      <c r="B26" s="60">
        <f>Лист2!E34</f>
        <v>304131.44977999944</v>
      </c>
      <c r="C26" s="60">
        <f>F7</f>
        <v>270165.92013473995</v>
      </c>
      <c r="D26" s="60">
        <f t="shared" si="4"/>
        <v>1080663.6805389598</v>
      </c>
    </row>
    <row r="27" spans="1:4" ht="19.5" thickBot="1" x14ac:dyDescent="0.3">
      <c r="A27" s="18">
        <v>5</v>
      </c>
      <c r="B27" s="60">
        <f>Лист2!F34</f>
        <v>568040.08087119926</v>
      </c>
      <c r="C27" s="60">
        <f>G7</f>
        <v>504601.12307685427</v>
      </c>
      <c r="D27" s="60">
        <f t="shared" si="4"/>
        <v>2523005.6153842714</v>
      </c>
    </row>
    <row r="28" spans="1:4" ht="19.5" thickBot="1" x14ac:dyDescent="0.3">
      <c r="A28" s="18" t="s">
        <v>49</v>
      </c>
      <c r="B28" s="60">
        <f>SUM(B23:B27)</f>
        <v>1461712.4376511984</v>
      </c>
      <c r="C28" s="60">
        <f t="shared" ref="C28:D28" si="5">SUM(C23:C27)</f>
        <v>1304818.762065555</v>
      </c>
      <c r="D28" s="60">
        <f t="shared" si="5"/>
        <v>4798065.4784586895</v>
      </c>
    </row>
    <row r="29" spans="1:4" ht="19.5" thickBot="1" x14ac:dyDescent="0.3">
      <c r="A29" s="89" t="s">
        <v>50</v>
      </c>
      <c r="B29" s="90"/>
      <c r="C29" s="62">
        <f>D28/C28</f>
        <v>3.677189214280804</v>
      </c>
      <c r="D29" s="20"/>
    </row>
    <row r="34" spans="3:3" x14ac:dyDescent="0.25">
      <c r="C34" s="72">
        <f>-C29*(I3/(1+I3))</f>
        <v>-0.21141238649493785</v>
      </c>
    </row>
  </sheetData>
  <mergeCells count="1">
    <mergeCell ref="A29:B2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="98" zoomScaleNormal="98" workbookViewId="0">
      <selection activeCell="B23" sqref="B23:D28"/>
    </sheetView>
  </sheetViews>
  <sheetFormatPr defaultRowHeight="15" x14ac:dyDescent="0.25"/>
  <cols>
    <col min="1" max="1" width="31" customWidth="1"/>
    <col min="2" max="2" width="16.140625" customWidth="1"/>
    <col min="3" max="3" width="15.7109375" bestFit="1" customWidth="1"/>
    <col min="4" max="4" width="14" bestFit="1" customWidth="1"/>
    <col min="5" max="5" width="15.7109375" bestFit="1" customWidth="1"/>
    <col min="6" max="12" width="14" bestFit="1" customWidth="1"/>
  </cols>
  <sheetData>
    <row r="1" spans="1:12" ht="15.75" thickBot="1" x14ac:dyDescent="0.3">
      <c r="A1" t="s">
        <v>115</v>
      </c>
    </row>
    <row r="2" spans="1:12" ht="19.5" thickBot="1" x14ac:dyDescent="0.3">
      <c r="A2" s="6"/>
      <c r="B2" s="48" t="s">
        <v>109</v>
      </c>
      <c r="C2" s="49" t="s">
        <v>110</v>
      </c>
      <c r="D2" s="49" t="s">
        <v>111</v>
      </c>
      <c r="E2" s="49" t="s">
        <v>112</v>
      </c>
      <c r="F2" s="49" t="s">
        <v>113</v>
      </c>
      <c r="G2" s="49" t="s">
        <v>114</v>
      </c>
      <c r="H2" s="8" t="s">
        <v>12</v>
      </c>
    </row>
    <row r="3" spans="1:12" ht="37.5" customHeight="1" thickBot="1" x14ac:dyDescent="0.3">
      <c r="A3" s="4" t="s">
        <v>39</v>
      </c>
      <c r="B3" s="51">
        <v>1</v>
      </c>
      <c r="C3" s="51">
        <f>1+$I$3</f>
        <v>1.0609999999999999</v>
      </c>
      <c r="D3" s="51">
        <f t="shared" ref="D3:G3" si="0">1+$I$3</f>
        <v>1.0609999999999999</v>
      </c>
      <c r="E3" s="51">
        <f t="shared" si="0"/>
        <v>1.0609999999999999</v>
      </c>
      <c r="F3" s="51">
        <f t="shared" si="0"/>
        <v>1.0609999999999999</v>
      </c>
      <c r="G3" s="51">
        <f t="shared" si="0"/>
        <v>1.0609999999999999</v>
      </c>
      <c r="H3" s="9"/>
      <c r="I3" s="50">
        <v>6.0999999999999999E-2</v>
      </c>
    </row>
    <row r="4" spans="1:12" ht="37.5" hidden="1" customHeight="1" thickBot="1" x14ac:dyDescent="0.3">
      <c r="A4" s="4" t="s">
        <v>121</v>
      </c>
      <c r="B4" s="51"/>
      <c r="C4" s="51">
        <f>B3*C3</f>
        <v>1.0609999999999999</v>
      </c>
      <c r="D4" s="51">
        <f t="shared" ref="D4:G4" si="1">C3*D3</f>
        <v>1.125721</v>
      </c>
      <c r="E4" s="51">
        <f t="shared" si="1"/>
        <v>1.125721</v>
      </c>
      <c r="F4" s="51">
        <f t="shared" si="1"/>
        <v>1.125721</v>
      </c>
      <c r="G4" s="51">
        <f t="shared" si="1"/>
        <v>1.125721</v>
      </c>
      <c r="H4" s="9"/>
      <c r="I4" s="50"/>
    </row>
    <row r="5" spans="1:12" ht="37.5" customHeight="1" thickBot="1" x14ac:dyDescent="0.3">
      <c r="A5" s="4" t="s">
        <v>40</v>
      </c>
      <c r="B5" s="2">
        <v>0</v>
      </c>
      <c r="C5" s="52">
        <f>Лист1!B18/'Проект 2'!C4</f>
        <v>2167766.2582469368</v>
      </c>
      <c r="D5" s="52">
        <f>Лист1!C18/'Проект 2'!D4</f>
        <v>3064702.5328656035</v>
      </c>
      <c r="E5" s="52">
        <f>Лист1!D18/'Проект 2'!E4</f>
        <v>4076054.3687112527</v>
      </c>
      <c r="F5" s="52">
        <f>Лист1!E18/'Проект 2'!F4</f>
        <v>4483659.8055823781</v>
      </c>
      <c r="G5" s="52">
        <f>Лист1!H18/'Проект 2'!G4</f>
        <v>4618507.6053480394</v>
      </c>
      <c r="H5" s="53">
        <f>SUM(C5:G5)</f>
        <v>18410690.570754211</v>
      </c>
    </row>
    <row r="6" spans="1:12" ht="37.5" customHeight="1" thickBot="1" x14ac:dyDescent="0.3">
      <c r="A6" s="4" t="s">
        <v>41</v>
      </c>
      <c r="B6" s="2">
        <f>Лист2!D24</f>
        <v>342400</v>
      </c>
      <c r="C6" s="52">
        <f>(Лист2!B38-'Проект 2'!B6)/C4</f>
        <v>2045442.9783223376</v>
      </c>
      <c r="D6" s="52">
        <f>Лист2!C38/'Проект 2'!D4</f>
        <v>2878195.6630461719</v>
      </c>
      <c r="E6" s="52">
        <f>Лист2!D38/'Проект 2'!E4</f>
        <v>3819093.6626393218</v>
      </c>
      <c r="F6" s="52">
        <f>Лист2!E38/'Проект 2'!F4</f>
        <v>4199130.5802947627</v>
      </c>
      <c r="G6" s="52">
        <f>Лист2!F38/'Проект 2'!G4</f>
        <v>4200428.8113299841</v>
      </c>
      <c r="H6" s="53">
        <f>SUM(B6:G6)</f>
        <v>17484691.695632577</v>
      </c>
    </row>
    <row r="7" spans="1:12" ht="37.5" customHeight="1" thickBot="1" x14ac:dyDescent="0.3">
      <c r="A7" s="4" t="s">
        <v>42</v>
      </c>
      <c r="B7" s="2">
        <f>-B6</f>
        <v>-342400</v>
      </c>
      <c r="C7" s="53">
        <f>C5-C6</f>
        <v>122323.27992459922</v>
      </c>
      <c r="D7" s="53">
        <f t="shared" ref="D7:H7" si="2">D5-D6</f>
        <v>186506.86981943157</v>
      </c>
      <c r="E7" s="53">
        <f t="shared" si="2"/>
        <v>256960.70607193094</v>
      </c>
      <c r="F7" s="53">
        <f t="shared" si="2"/>
        <v>284529.22528761532</v>
      </c>
      <c r="G7" s="53">
        <f t="shared" si="2"/>
        <v>418078.79401805531</v>
      </c>
      <c r="H7" s="54">
        <f t="shared" si="2"/>
        <v>925998.87512163445</v>
      </c>
    </row>
    <row r="8" spans="1:12" ht="15.75" thickBot="1" x14ac:dyDescent="0.3"/>
    <row r="9" spans="1:12" ht="15.75" thickBot="1" x14ac:dyDescent="0.3">
      <c r="G9" s="55" t="s">
        <v>116</v>
      </c>
      <c r="H9" s="61">
        <f>IRR(B7:G7,18)</f>
        <v>0.51482531378511509</v>
      </c>
    </row>
    <row r="11" spans="1:12" ht="15.75" thickBot="1" x14ac:dyDescent="0.3"/>
    <row r="12" spans="1:12" ht="30" customHeight="1" thickBot="1" x14ac:dyDescent="0.3">
      <c r="A12" s="6" t="s">
        <v>43</v>
      </c>
      <c r="B12" s="15">
        <v>0.01</v>
      </c>
      <c r="C12" s="15">
        <v>0.03</v>
      </c>
      <c r="D12" s="15">
        <v>0.05</v>
      </c>
      <c r="E12" s="15">
        <v>7.0000000000000007E-2</v>
      </c>
      <c r="F12" s="15">
        <v>0.09</v>
      </c>
      <c r="G12" s="15">
        <v>0.11</v>
      </c>
      <c r="H12" s="15">
        <v>0.13</v>
      </c>
      <c r="I12" s="15">
        <v>0.15</v>
      </c>
      <c r="J12" s="15">
        <v>0.17</v>
      </c>
      <c r="K12" s="15">
        <v>0.19</v>
      </c>
      <c r="L12" s="15">
        <v>0.21</v>
      </c>
    </row>
    <row r="13" spans="1:12" ht="24" customHeight="1" thickBot="1" x14ac:dyDescent="0.3">
      <c r="A13" s="4" t="s">
        <v>44</v>
      </c>
      <c r="B13" s="53">
        <f>$H$7/(1+B12)</f>
        <v>916830.56942736078</v>
      </c>
      <c r="C13" s="53">
        <f t="shared" ref="C13:L13" si="3">$H$7/(1+C12)</f>
        <v>899028.03409867419</v>
      </c>
      <c r="D13" s="53">
        <f t="shared" si="3"/>
        <v>881903.69059203274</v>
      </c>
      <c r="E13" s="53">
        <f t="shared" si="3"/>
        <v>865419.50945947145</v>
      </c>
      <c r="F13" s="53">
        <f t="shared" si="3"/>
        <v>849540.25240516919</v>
      </c>
      <c r="G13" s="53">
        <f t="shared" si="3"/>
        <v>834233.22083030129</v>
      </c>
      <c r="H13" s="53">
        <f t="shared" si="3"/>
        <v>819468.03108109254</v>
      </c>
      <c r="I13" s="53">
        <f t="shared" si="3"/>
        <v>805216.41314924741</v>
      </c>
      <c r="J13" s="53">
        <f t="shared" si="3"/>
        <v>791452.03001849109</v>
      </c>
      <c r="K13" s="53">
        <f t="shared" si="3"/>
        <v>778150.31522826431</v>
      </c>
      <c r="L13" s="53">
        <f t="shared" si="3"/>
        <v>765288.32654680533</v>
      </c>
    </row>
    <row r="16" spans="1:12" ht="18.75" x14ac:dyDescent="0.3">
      <c r="A16" s="56" t="s">
        <v>117</v>
      </c>
      <c r="D16" s="59"/>
    </row>
    <row r="17" spans="1:4" ht="16.5" x14ac:dyDescent="0.25">
      <c r="A17" s="57" t="s">
        <v>118</v>
      </c>
    </row>
    <row r="18" spans="1:4" ht="18" x14ac:dyDescent="0.25">
      <c r="A18" s="58" t="s">
        <v>119</v>
      </c>
    </row>
    <row r="19" spans="1:4" ht="16.5" x14ac:dyDescent="0.25">
      <c r="A19" s="57" t="s">
        <v>120</v>
      </c>
      <c r="D19" s="59">
        <f>1+H7/B6</f>
        <v>3.7044359670608484</v>
      </c>
    </row>
    <row r="21" spans="1:4" ht="15.75" thickBot="1" x14ac:dyDescent="0.3"/>
    <row r="22" spans="1:4" ht="19.5" thickBot="1" x14ac:dyDescent="0.3">
      <c r="A22" s="16" t="s">
        <v>45</v>
      </c>
      <c r="B22" s="39" t="s">
        <v>46</v>
      </c>
      <c r="C22" s="39" t="s">
        <v>47</v>
      </c>
      <c r="D22" s="39" t="s">
        <v>48</v>
      </c>
    </row>
    <row r="23" spans="1:4" ht="19.5" thickBot="1" x14ac:dyDescent="0.3">
      <c r="A23" s="18">
        <v>1</v>
      </c>
      <c r="B23" s="60">
        <f>Лист2!B39+B6</f>
        <v>129785</v>
      </c>
      <c r="C23" s="60">
        <f>C7</f>
        <v>122323.27992459922</v>
      </c>
      <c r="D23" s="60">
        <f>A23*C23</f>
        <v>122323.27992459922</v>
      </c>
    </row>
    <row r="24" spans="1:4" ht="19.5" thickBot="1" x14ac:dyDescent="0.3">
      <c r="A24" s="18">
        <v>2</v>
      </c>
      <c r="B24" s="60">
        <f>Лист2!C39</f>
        <v>209954.70000000019</v>
      </c>
      <c r="C24" s="60">
        <f>D7</f>
        <v>186506.86981943157</v>
      </c>
      <c r="D24" s="60">
        <f t="shared" ref="D24:D27" si="4">A24*C24</f>
        <v>373013.73963886313</v>
      </c>
    </row>
    <row r="25" spans="1:4" ht="19.5" thickBot="1" x14ac:dyDescent="0.3">
      <c r="A25" s="18">
        <v>3</v>
      </c>
      <c r="B25" s="60">
        <f>Лист2!D39</f>
        <v>289266.06300000008</v>
      </c>
      <c r="C25" s="60">
        <f>E7</f>
        <v>256960.70607193094</v>
      </c>
      <c r="D25" s="60">
        <f t="shared" si="4"/>
        <v>770882.11821579281</v>
      </c>
    </row>
    <row r="26" spans="1:4" ht="19.5" thickBot="1" x14ac:dyDescent="0.3">
      <c r="A26" s="18">
        <v>4</v>
      </c>
      <c r="B26" s="60">
        <f>Лист2!E39</f>
        <v>320300.52401999943</v>
      </c>
      <c r="C26" s="60">
        <f>F7</f>
        <v>284529.22528761532</v>
      </c>
      <c r="D26" s="60">
        <f t="shared" si="4"/>
        <v>1138116.9011504613</v>
      </c>
    </row>
    <row r="27" spans="1:4" ht="19.5" thickBot="1" x14ac:dyDescent="0.3">
      <c r="A27" s="18">
        <v>5</v>
      </c>
      <c r="B27" s="60">
        <f>Лист2!F39</f>
        <v>470640.07808079943</v>
      </c>
      <c r="C27" s="60">
        <f>G7</f>
        <v>418078.79401805531</v>
      </c>
      <c r="D27" s="60">
        <f t="shared" si="4"/>
        <v>2090393.9700902766</v>
      </c>
    </row>
    <row r="28" spans="1:4" ht="19.5" thickBot="1" x14ac:dyDescent="0.3">
      <c r="A28" s="18" t="s">
        <v>49</v>
      </c>
      <c r="B28" s="60">
        <f>SUM(B23:B27)</f>
        <v>1419946.3651007991</v>
      </c>
      <c r="C28" s="60">
        <f t="shared" ref="C28:D28" si="5">SUM(C23:C27)</f>
        <v>1268398.8751216324</v>
      </c>
      <c r="D28" s="60">
        <f t="shared" si="5"/>
        <v>4494730.0090199932</v>
      </c>
    </row>
    <row r="29" spans="1:4" ht="19.5" thickBot="1" x14ac:dyDescent="0.3">
      <c r="A29" s="89" t="s">
        <v>50</v>
      </c>
      <c r="B29" s="90"/>
      <c r="C29" s="62">
        <f>D28/C28</f>
        <v>3.5436250356095385</v>
      </c>
      <c r="D29" s="20"/>
    </row>
    <row r="34" spans="3:3" x14ac:dyDescent="0.25">
      <c r="C34" s="72">
        <f>-C29*(I3/(1+I3))</f>
        <v>-0.2037333903602091</v>
      </c>
    </row>
  </sheetData>
  <mergeCells count="1">
    <mergeCell ref="A29:B2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="98" zoomScaleNormal="98" workbookViewId="0">
      <selection activeCell="D36" sqref="D36"/>
    </sheetView>
  </sheetViews>
  <sheetFormatPr defaultRowHeight="15" x14ac:dyDescent="0.25"/>
  <cols>
    <col min="1" max="1" width="31" customWidth="1"/>
    <col min="2" max="2" width="16.140625" customWidth="1"/>
    <col min="3" max="3" width="15.7109375" bestFit="1" customWidth="1"/>
    <col min="4" max="4" width="14" bestFit="1" customWidth="1"/>
    <col min="5" max="5" width="15.7109375" bestFit="1" customWidth="1"/>
    <col min="6" max="8" width="14" bestFit="1" customWidth="1"/>
    <col min="9" max="9" width="13.140625" customWidth="1"/>
    <col min="10" max="10" width="13.42578125" customWidth="1"/>
    <col min="11" max="11" width="11.85546875" customWidth="1"/>
    <col min="12" max="12" width="12.5703125" bestFit="1" customWidth="1"/>
  </cols>
  <sheetData>
    <row r="1" spans="1:12" ht="15.75" thickBot="1" x14ac:dyDescent="0.3">
      <c r="A1" t="s">
        <v>115</v>
      </c>
    </row>
    <row r="2" spans="1:12" ht="19.5" thickBot="1" x14ac:dyDescent="0.3">
      <c r="A2" s="6"/>
      <c r="B2" s="48" t="s">
        <v>109</v>
      </c>
      <c r="C2" s="49" t="s">
        <v>110</v>
      </c>
      <c r="D2" s="49" t="s">
        <v>111</v>
      </c>
      <c r="E2" s="49" t="s">
        <v>112</v>
      </c>
      <c r="F2" s="49" t="s">
        <v>113</v>
      </c>
      <c r="G2" s="49" t="s">
        <v>114</v>
      </c>
      <c r="H2" s="8" t="s">
        <v>12</v>
      </c>
    </row>
    <row r="3" spans="1:12" ht="37.5" customHeight="1" thickBot="1" x14ac:dyDescent="0.3">
      <c r="A3" s="4" t="s">
        <v>39</v>
      </c>
      <c r="B3" s="73">
        <v>1</v>
      </c>
      <c r="C3" s="73">
        <f>1+$I$3</f>
        <v>1.0609999999999999</v>
      </c>
      <c r="D3" s="73">
        <f t="shared" ref="D3:G3" si="0">1+$I$3</f>
        <v>1.0609999999999999</v>
      </c>
      <c r="E3" s="73">
        <f t="shared" si="0"/>
        <v>1.0609999999999999</v>
      </c>
      <c r="F3" s="73">
        <f t="shared" si="0"/>
        <v>1.0609999999999999</v>
      </c>
      <c r="G3" s="73">
        <f t="shared" si="0"/>
        <v>1.0609999999999999</v>
      </c>
      <c r="H3" s="9"/>
      <c r="I3" s="50">
        <v>6.0999999999999999E-2</v>
      </c>
    </row>
    <row r="4" spans="1:12" ht="37.5" hidden="1" customHeight="1" thickBot="1" x14ac:dyDescent="0.3">
      <c r="A4" s="4" t="s">
        <v>121</v>
      </c>
      <c r="B4" s="73"/>
      <c r="C4" s="73">
        <f>C3*B3</f>
        <v>1.0609999999999999</v>
      </c>
      <c r="D4" s="73">
        <f t="shared" ref="D4:G4" si="1">D3*C3</f>
        <v>1.125721</v>
      </c>
      <c r="E4" s="73">
        <f t="shared" si="1"/>
        <v>1.125721</v>
      </c>
      <c r="F4" s="73">
        <f t="shared" si="1"/>
        <v>1.125721</v>
      </c>
      <c r="G4" s="73">
        <f t="shared" si="1"/>
        <v>1.125721</v>
      </c>
      <c r="H4" s="9"/>
      <c r="I4" s="50"/>
    </row>
    <row r="5" spans="1:12" ht="37.5" customHeight="1" thickBot="1" x14ac:dyDescent="0.3">
      <c r="A5" s="4" t="s">
        <v>40</v>
      </c>
      <c r="B5" s="2">
        <v>0</v>
      </c>
      <c r="C5" s="52">
        <f>Лист1!B18/'Проект 3'!C4</f>
        <v>2167766.2582469368</v>
      </c>
      <c r="D5" s="52">
        <f>Лист1!C18/'Проект 3'!D4</f>
        <v>3064702.5328656035</v>
      </c>
      <c r="E5" s="52">
        <f>Лист1!D18/'Проект 3'!E4</f>
        <v>4076054.3687112527</v>
      </c>
      <c r="F5" s="52">
        <f>Лист1!E18/'Проект 3'!F4</f>
        <v>4483659.8055823781</v>
      </c>
      <c r="G5" s="52">
        <f>Лист1!F18/'Проект 3'!G4</f>
        <v>4483659.8055823781</v>
      </c>
      <c r="H5" s="53">
        <f>SUM(C5:G5)</f>
        <v>18275842.77098855</v>
      </c>
    </row>
    <row r="6" spans="1:12" ht="37.5" customHeight="1" thickBot="1" x14ac:dyDescent="0.3">
      <c r="A6" s="4" t="s">
        <v>41</v>
      </c>
      <c r="B6" s="2"/>
      <c r="C6" s="52">
        <f>(Лист2!B47-'Проект 3'!B6)/C4</f>
        <v>2000706.8803016024</v>
      </c>
      <c r="D6" s="52">
        <f>Лист2!C47/'Проект 3'!D4</f>
        <v>2828520.5659306347</v>
      </c>
      <c r="E6" s="52">
        <f>Лист2!D47/'Проект 3'!E4</f>
        <v>3761932.3526877444</v>
      </c>
      <c r="F6" s="52">
        <f>Лист2!E47/'Проект 3'!F4</f>
        <v>4138125.5879565189</v>
      </c>
      <c r="G6" s="52">
        <f>Лист2!F47/'Проект 3'!G4</f>
        <v>4138125.5879565189</v>
      </c>
      <c r="H6" s="53">
        <f>SUM(B6:G6)</f>
        <v>16867410.974833019</v>
      </c>
    </row>
    <row r="7" spans="1:12" ht="37.5" customHeight="1" thickBot="1" x14ac:dyDescent="0.3">
      <c r="A7" s="4" t="s">
        <v>42</v>
      </c>
      <c r="B7" s="2"/>
      <c r="C7" s="53">
        <f>C5-C6</f>
        <v>167059.37794533442</v>
      </c>
      <c r="D7" s="53">
        <f t="shared" ref="D7:H7" si="2">D5-D6</f>
        <v>236181.96693496872</v>
      </c>
      <c r="E7" s="53">
        <f t="shared" si="2"/>
        <v>314122.01602350827</v>
      </c>
      <c r="F7" s="53">
        <f t="shared" si="2"/>
        <v>345534.21762585919</v>
      </c>
      <c r="G7" s="53">
        <f t="shared" si="2"/>
        <v>345534.21762585919</v>
      </c>
      <c r="H7" s="54">
        <f t="shared" si="2"/>
        <v>1408431.796155531</v>
      </c>
    </row>
    <row r="8" spans="1:12" ht="15.75" thickBot="1" x14ac:dyDescent="0.3"/>
    <row r="9" spans="1:12" ht="15.75" thickBot="1" x14ac:dyDescent="0.3">
      <c r="G9" s="55" t="s">
        <v>116</v>
      </c>
      <c r="H9" s="61" t="e">
        <f>IRR(B7:G7)</f>
        <v>#NUM!</v>
      </c>
    </row>
    <row r="11" spans="1:12" ht="15.75" thickBot="1" x14ac:dyDescent="0.3"/>
    <row r="12" spans="1:12" ht="30" customHeight="1" thickBot="1" x14ac:dyDescent="0.3">
      <c r="A12" s="6" t="s">
        <v>43</v>
      </c>
      <c r="B12" s="15">
        <v>0.01</v>
      </c>
      <c r="C12" s="15">
        <v>0.03</v>
      </c>
      <c r="D12" s="15">
        <v>0.05</v>
      </c>
      <c r="E12" s="15">
        <v>7.0000000000000007E-2</v>
      </c>
      <c r="F12" s="15">
        <v>0.09</v>
      </c>
      <c r="G12" s="15">
        <v>0.12</v>
      </c>
      <c r="H12" s="15">
        <v>0.15</v>
      </c>
      <c r="I12" s="15">
        <v>0.15</v>
      </c>
      <c r="J12" s="15">
        <v>0.17</v>
      </c>
      <c r="K12" s="15">
        <v>0.19</v>
      </c>
      <c r="L12" s="15">
        <v>0.21</v>
      </c>
    </row>
    <row r="13" spans="1:12" ht="24" customHeight="1" thickBot="1" x14ac:dyDescent="0.3">
      <c r="A13" s="4" t="s">
        <v>44</v>
      </c>
      <c r="B13" s="53">
        <f>$H$7/(1+B12)</f>
        <v>1394486.9268866642</v>
      </c>
      <c r="C13" s="53">
        <f t="shared" ref="C13:L13" si="3">$H$7/(1+C12)</f>
        <v>1367409.5108306126</v>
      </c>
      <c r="D13" s="53">
        <f t="shared" si="3"/>
        <v>1341363.6153862199</v>
      </c>
      <c r="E13" s="53">
        <f t="shared" si="3"/>
        <v>1316291.398276197</v>
      </c>
      <c r="F13" s="53">
        <f t="shared" si="3"/>
        <v>1292139.2625280099</v>
      </c>
      <c r="G13" s="53">
        <f t="shared" si="3"/>
        <v>1257528.3894245811</v>
      </c>
      <c r="H13" s="53">
        <f t="shared" si="3"/>
        <v>1224723.3010048096</v>
      </c>
      <c r="I13" s="53">
        <f t="shared" si="3"/>
        <v>1224723.3010048096</v>
      </c>
      <c r="J13" s="53">
        <f t="shared" si="3"/>
        <v>1203787.8599619924</v>
      </c>
      <c r="K13" s="53">
        <f t="shared" si="3"/>
        <v>1183556.1312231354</v>
      </c>
      <c r="L13" s="53">
        <f t="shared" si="3"/>
        <v>1163993.2199632488</v>
      </c>
    </row>
    <row r="16" spans="1:12" ht="18.75" x14ac:dyDescent="0.3">
      <c r="A16" s="56" t="s">
        <v>117</v>
      </c>
      <c r="D16" s="59"/>
    </row>
    <row r="17" spans="1:4" ht="16.5" x14ac:dyDescent="0.25">
      <c r="A17" s="57" t="s">
        <v>118</v>
      </c>
    </row>
    <row r="18" spans="1:4" ht="18" x14ac:dyDescent="0.25">
      <c r="A18" s="58" t="s">
        <v>119</v>
      </c>
    </row>
    <row r="19" spans="1:4" ht="16.5" x14ac:dyDescent="0.25">
      <c r="A19" s="57" t="s">
        <v>120</v>
      </c>
      <c r="D19" s="59" t="e">
        <f>1+H7/B6</f>
        <v>#DIV/0!</v>
      </c>
    </row>
    <row r="21" spans="1:4" ht="15.75" thickBot="1" x14ac:dyDescent="0.3"/>
    <row r="22" spans="1:4" ht="19.5" thickBot="1" x14ac:dyDescent="0.3">
      <c r="A22" s="16" t="s">
        <v>45</v>
      </c>
      <c r="B22" s="39" t="s">
        <v>46</v>
      </c>
      <c r="C22" s="39" t="s">
        <v>47</v>
      </c>
      <c r="D22" s="39" t="s">
        <v>48</v>
      </c>
    </row>
    <row r="23" spans="1:4" ht="19.5" thickBot="1" x14ac:dyDescent="0.3">
      <c r="A23" s="18">
        <v>1</v>
      </c>
      <c r="B23" s="60">
        <f>Лист2!B50+B6</f>
        <v>177250</v>
      </c>
      <c r="C23" s="60">
        <f>C7</f>
        <v>167059.37794533442</v>
      </c>
      <c r="D23" s="19">
        <f>A23*C23</f>
        <v>167059.37794533442</v>
      </c>
    </row>
    <row r="24" spans="1:4" ht="19.5" thickBot="1" x14ac:dyDescent="0.3">
      <c r="A24" s="18">
        <v>2</v>
      </c>
      <c r="B24" s="60">
        <f>Лист2!C50</f>
        <v>265875</v>
      </c>
      <c r="C24" s="60">
        <f>D7</f>
        <v>236181.96693496872</v>
      </c>
      <c r="D24" s="19">
        <f t="shared" ref="D24:D27" si="4">A24*C24</f>
        <v>472363.93386993743</v>
      </c>
    </row>
    <row r="25" spans="1:4" ht="19.5" thickBot="1" x14ac:dyDescent="0.3">
      <c r="A25" s="18">
        <v>3</v>
      </c>
      <c r="B25" s="60">
        <f>Лист2!D50</f>
        <v>353613.75</v>
      </c>
      <c r="C25" s="60">
        <f>E7</f>
        <v>314122.01602350827</v>
      </c>
      <c r="D25" s="19">
        <f t="shared" si="4"/>
        <v>942366.04807052482</v>
      </c>
    </row>
    <row r="26" spans="1:4" ht="19.5" thickBot="1" x14ac:dyDescent="0.3">
      <c r="A26" s="18">
        <v>4</v>
      </c>
      <c r="B26" s="60">
        <f>Лист2!E50</f>
        <v>388975.125</v>
      </c>
      <c r="C26" s="60">
        <f>F7</f>
        <v>345534.21762585919</v>
      </c>
      <c r="D26" s="19">
        <f t="shared" si="4"/>
        <v>1382136.8705034368</v>
      </c>
    </row>
    <row r="27" spans="1:4" ht="19.5" thickBot="1" x14ac:dyDescent="0.3">
      <c r="A27" s="18">
        <v>5</v>
      </c>
      <c r="B27" s="60">
        <f>Лист2!F50</f>
        <v>388975.125</v>
      </c>
      <c r="C27" s="60">
        <f>G7</f>
        <v>345534.21762585919</v>
      </c>
      <c r="D27" s="19">
        <f t="shared" si="4"/>
        <v>1727671.088129296</v>
      </c>
    </row>
    <row r="28" spans="1:4" ht="19.5" thickBot="1" x14ac:dyDescent="0.3">
      <c r="A28" s="18" t="s">
        <v>49</v>
      </c>
      <c r="B28" s="19">
        <f>SUM(B23:B27)</f>
        <v>1574689</v>
      </c>
      <c r="C28" s="60">
        <f t="shared" ref="C28:D28" si="5">SUM(C23:C27)</f>
        <v>1408431.7961555298</v>
      </c>
      <c r="D28" s="19">
        <f t="shared" si="5"/>
        <v>4691597.3185185296</v>
      </c>
    </row>
    <row r="29" spans="1:4" ht="19.5" thickBot="1" x14ac:dyDescent="0.3">
      <c r="A29" s="89" t="s">
        <v>50</v>
      </c>
      <c r="B29" s="90"/>
      <c r="C29" s="62">
        <f>D28/C28</f>
        <v>3.3310788149804362</v>
      </c>
      <c r="D29" s="20"/>
    </row>
    <row r="34" spans="3:3" x14ac:dyDescent="0.25">
      <c r="C34" s="72">
        <f>-C29*(I3/(1+I3))</f>
        <v>-0.19151348512140115</v>
      </c>
    </row>
  </sheetData>
  <mergeCells count="1">
    <mergeCell ref="A29:B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Лист1</vt:lpstr>
      <vt:lpstr>Лист2</vt:lpstr>
      <vt:lpstr>Проект 1</vt:lpstr>
      <vt:lpstr>Проект 2</vt:lpstr>
      <vt:lpstr>Проект 3</vt:lpstr>
      <vt:lpstr>Лист1!_ftn1</vt:lpstr>
      <vt:lpstr>Лист1!_ftnref1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2020-12-29T07:35:47Z</dcterms:modified>
</cp:coreProperties>
</file>